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925" windowHeight="6525" activeTab="5"/>
  </bookViews>
  <sheets>
    <sheet name="第一季" sheetId="1" r:id="rId1"/>
    <sheet name="第二季" sheetId="2" r:id="rId2"/>
    <sheet name="第三季" sheetId="3" r:id="rId3"/>
    <sheet name="第四季" sheetId="4" r:id="rId4"/>
    <sheet name="表六之一" sheetId="5" r:id="rId5"/>
    <sheet name="表六之二" sheetId="6" r:id="rId6"/>
  </sheets>
  <definedNames/>
  <calcPr fullCalcOnLoad="1"/>
</workbook>
</file>

<file path=xl/sharedStrings.xml><?xml version="1.0" encoding="utf-8"?>
<sst xmlns="http://schemas.openxmlformats.org/spreadsheetml/2006/main" count="250" uniqueCount="61">
  <si>
    <t>房地交易課稅情形季報表</t>
  </si>
  <si>
    <t>查定件數</t>
  </si>
  <si>
    <t>應納稅額</t>
  </si>
  <si>
    <t>免稅件數</t>
  </si>
  <si>
    <t>應稅件數</t>
  </si>
  <si>
    <t>台灣地區</t>
  </si>
  <si>
    <t>基隆市</t>
  </si>
  <si>
    <t>台北縣</t>
  </si>
  <si>
    <t>桃園縣</t>
  </si>
  <si>
    <t>苗栗縣</t>
  </si>
  <si>
    <t>新竹市</t>
  </si>
  <si>
    <t>新竹縣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</si>
  <si>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</si>
  <si>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</si>
  <si>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</si>
  <si>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</si>
  <si>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</si>
  <si>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</si>
  <si>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</si>
  <si>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</si>
  <si>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</si>
  <si>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</si>
  <si>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</si>
  <si>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</si>
  <si>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</si>
  <si>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</si>
  <si>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</si>
  <si>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土地增值稅</t>
  </si>
  <si>
    <t>買賣契稅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</si>
  <si>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</si>
  <si>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r>
      <t>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稅</t>
    </r>
  </si>
  <si>
    <r>
      <t>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賣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稅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</si>
  <si>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</si>
  <si>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</si>
  <si>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</si>
  <si>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</si>
  <si>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*</t>
    </r>
    <r>
      <rPr>
        <sz val="12"/>
        <rFont val="標楷體"/>
        <family val="4"/>
      </rPr>
      <t>填報單位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台北市稅捐稽徵處、高雄市稅捐稽徵處、台灣省各縣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稅捐稽徵處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</si>
  <si>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</si>
  <si>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r>
      <t>*</t>
    </r>
    <r>
      <rPr>
        <sz val="12"/>
        <rFont val="標楷體"/>
        <family val="4"/>
      </rPr>
      <t>主管單位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財政部</t>
    </r>
  </si>
  <si>
    <r>
      <t>*</t>
    </r>
    <r>
      <rPr>
        <sz val="12"/>
        <rFont val="標楷體"/>
        <family val="4"/>
      </rPr>
      <t>發佈單位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內政部營建署</t>
    </r>
  </si>
  <si>
    <t>表六</t>
  </si>
  <si>
    <t>表六</t>
  </si>
  <si>
    <r>
      <t xml:space="preserve">       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目
地區別</t>
    </r>
  </si>
  <si>
    <t>表六之一</t>
  </si>
  <si>
    <r>
      <t xml:space="preserve">                         </t>
    </r>
    <r>
      <rPr>
        <sz val="12"/>
        <rFont val="標楷體"/>
        <family val="4"/>
      </rPr>
      <t>項目
地區別</t>
    </r>
  </si>
  <si>
    <t>基隆市</t>
  </si>
  <si>
    <r>
      <t xml:space="preserve">                         </t>
    </r>
    <r>
      <rPr>
        <sz val="12"/>
        <rFont val="標楷體"/>
        <family val="4"/>
      </rPr>
      <t>項目
地區別</t>
    </r>
  </si>
  <si>
    <t>土地增值稅</t>
  </si>
  <si>
    <t>買賣契稅</t>
  </si>
  <si>
    <t>應納稅額</t>
  </si>
  <si>
    <t>表六之二</t>
  </si>
  <si>
    <r>
      <t>資料截止日期</t>
    </r>
    <r>
      <rPr>
        <sz val="12"/>
        <rFont val="Times New Roman"/>
        <family val="1"/>
      </rPr>
      <t>: 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</si>
  <si>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</si>
  <si>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</si>
  <si>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</si>
  <si>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t>雲林縣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</si>
  <si>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</si>
  <si>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t>單位:萬元</t>
  </si>
  <si>
    <t>單位:件</t>
  </si>
  <si>
    <t>九十四年房地交易課稅情形</t>
  </si>
  <si>
    <r>
      <t>資料日期</t>
    </r>
    <r>
      <rPr>
        <sz val="12"/>
        <rFont val="Times New Roman"/>
        <family val="1"/>
      </rPr>
      <t>: 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</si>
</sst>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21" sqref="G21"/>
    </sheetView>
  </sheetViews>
  <sheetFormatPr defaultColWidth="9.00390625" defaultRowHeight="16.5"/>
  <cols>
    <col min="1" max="8" width="10.625" style="0" customWidth="1"/>
    <col min="10" max="10" width="9.50390625" style="0" bestFit="1" customWidth="1"/>
  </cols>
  <sheetData>
    <row r="1" spans="1:8" ht="19.5" customHeight="1">
      <c r="A1" s="21" t="s">
        <v>41</v>
      </c>
      <c r="B1" s="21" t="s">
        <v>0</v>
      </c>
      <c r="C1" s="22"/>
      <c r="D1" s="22"/>
      <c r="E1" s="11"/>
      <c r="F1" s="11"/>
      <c r="G1" s="11"/>
      <c r="H1" s="11"/>
    </row>
    <row r="2" spans="1:8" ht="19.5" customHeight="1">
      <c r="A2" s="21"/>
      <c r="B2" s="21"/>
      <c r="C2" s="22"/>
      <c r="D2" s="22"/>
      <c r="E2" s="11"/>
      <c r="F2" s="11"/>
      <c r="G2" s="11"/>
      <c r="H2" s="11"/>
    </row>
    <row r="3" spans="1:8" ht="19.5" customHeight="1" thickBot="1">
      <c r="A3" s="2" t="s">
        <v>51</v>
      </c>
      <c r="B3" s="11"/>
      <c r="C3" s="11"/>
      <c r="D3" s="11"/>
      <c r="E3" s="11"/>
      <c r="F3" s="11"/>
      <c r="G3" s="11"/>
      <c r="H3" s="2" t="s">
        <v>29</v>
      </c>
    </row>
    <row r="4" spans="1:8" ht="19.5" customHeight="1" thickTop="1">
      <c r="A4" s="37" t="s">
        <v>42</v>
      </c>
      <c r="B4" s="3" t="s">
        <v>30</v>
      </c>
      <c r="C4" s="12"/>
      <c r="D4" s="12"/>
      <c r="E4" s="3" t="s">
        <v>31</v>
      </c>
      <c r="F4" s="12"/>
      <c r="G4" s="12"/>
      <c r="H4" s="13"/>
    </row>
    <row r="5" spans="1:8" ht="19.5" customHeight="1">
      <c r="A5" s="38"/>
      <c r="B5" s="4" t="s">
        <v>1</v>
      </c>
      <c r="C5" s="14"/>
      <c r="D5" s="35" t="s">
        <v>2</v>
      </c>
      <c r="E5" s="4" t="s">
        <v>1</v>
      </c>
      <c r="F5" s="14"/>
      <c r="G5" s="35" t="s">
        <v>2</v>
      </c>
      <c r="H5" s="5" t="s">
        <v>32</v>
      </c>
    </row>
    <row r="6" spans="1:8" ht="19.5" customHeight="1">
      <c r="A6" s="39"/>
      <c r="B6" s="26" t="s">
        <v>3</v>
      </c>
      <c r="C6" s="26" t="s">
        <v>4</v>
      </c>
      <c r="D6" s="36"/>
      <c r="E6" s="26" t="s">
        <v>3</v>
      </c>
      <c r="F6" s="26" t="s">
        <v>4</v>
      </c>
      <c r="G6" s="36"/>
      <c r="H6" s="15"/>
    </row>
    <row r="7" spans="1:11" ht="19.5" customHeight="1">
      <c r="A7" s="6" t="s">
        <v>5</v>
      </c>
      <c r="B7" s="28">
        <f aca="true" t="shared" si="0" ref="B7:G7">B8+B30+B31</f>
        <v>195005</v>
      </c>
      <c r="C7" s="28">
        <f t="shared" si="0"/>
        <v>140949</v>
      </c>
      <c r="D7" s="28">
        <f t="shared" si="0"/>
        <v>3775530</v>
      </c>
      <c r="E7" s="28">
        <f t="shared" si="0"/>
        <v>1810</v>
      </c>
      <c r="F7" s="28">
        <f t="shared" si="0"/>
        <v>126526</v>
      </c>
      <c r="G7" s="28">
        <f t="shared" si="0"/>
        <v>340982</v>
      </c>
      <c r="H7" s="17"/>
      <c r="I7" s="1"/>
      <c r="J7" s="1"/>
      <c r="K7" s="1"/>
    </row>
    <row r="8" spans="1:9" ht="19.5" customHeight="1">
      <c r="A8" s="7" t="s">
        <v>33</v>
      </c>
      <c r="B8" s="28">
        <f aca="true" t="shared" si="1" ref="B8:G8">SUM(B9:B29)</f>
        <v>171587</v>
      </c>
      <c r="C8" s="28">
        <f t="shared" si="1"/>
        <v>112733</v>
      </c>
      <c r="D8" s="28">
        <f t="shared" si="1"/>
        <v>2587757</v>
      </c>
      <c r="E8" s="28">
        <f t="shared" si="1"/>
        <v>1491</v>
      </c>
      <c r="F8" s="28">
        <f t="shared" si="1"/>
        <v>97065</v>
      </c>
      <c r="G8" s="28">
        <f t="shared" si="1"/>
        <v>250006</v>
      </c>
      <c r="H8" s="17"/>
      <c r="I8" s="1"/>
    </row>
    <row r="9" spans="1:8" ht="19.5" customHeight="1">
      <c r="A9" s="8" t="s">
        <v>45</v>
      </c>
      <c r="B9" s="28">
        <f>1745+784+788</f>
        <v>3317</v>
      </c>
      <c r="C9" s="29">
        <f>726+760+1338</f>
        <v>2824</v>
      </c>
      <c r="D9" s="28">
        <f>5716+9173+25149</f>
        <v>40038</v>
      </c>
      <c r="E9" s="28">
        <f>1+0+0</f>
        <v>1</v>
      </c>
      <c r="F9" s="28">
        <f>918+618+712</f>
        <v>2248</v>
      </c>
      <c r="G9" s="28">
        <f>1971+1293+1327</f>
        <v>4591</v>
      </c>
      <c r="H9" s="17"/>
    </row>
    <row r="10" spans="1:10" ht="19.5" customHeight="1">
      <c r="A10" s="8" t="s">
        <v>7</v>
      </c>
      <c r="B10" s="28">
        <f>13111+12000+12440</f>
        <v>37551</v>
      </c>
      <c r="C10" s="28">
        <f>6977+9532+6304</f>
        <v>22813</v>
      </c>
      <c r="D10" s="28">
        <f>161449+317817+202199</f>
        <v>681465</v>
      </c>
      <c r="E10" s="28">
        <f>10+7+5</f>
        <v>22</v>
      </c>
      <c r="F10" s="28">
        <f>10305+7243+6997</f>
        <v>24545</v>
      </c>
      <c r="G10" s="28">
        <f>24070+15365+16426</f>
        <v>55861</v>
      </c>
      <c r="H10" s="17"/>
      <c r="J10" s="1"/>
    </row>
    <row r="11" spans="1:10" ht="19.5" customHeight="1">
      <c r="A11" s="8" t="s">
        <v>8</v>
      </c>
      <c r="B11" s="28">
        <f>8769+6320+4874</f>
        <v>19963</v>
      </c>
      <c r="C11" s="28">
        <f>5749+7086+5286</f>
        <v>18121</v>
      </c>
      <c r="D11" s="28">
        <f>143172+171328+131865</f>
        <v>446365</v>
      </c>
      <c r="E11" s="28">
        <f>236+15+380</f>
        <v>631</v>
      </c>
      <c r="F11" s="28">
        <f>4764+2919+4913</f>
        <v>12596</v>
      </c>
      <c r="G11" s="28">
        <f>14832+8753+10714</f>
        <v>34299</v>
      </c>
      <c r="H11" s="17"/>
      <c r="J11" s="1"/>
    </row>
    <row r="12" spans="1:11" ht="19.5" customHeight="1">
      <c r="A12" s="8" t="s">
        <v>9</v>
      </c>
      <c r="B12" s="28">
        <f>2648+2332+1224</f>
        <v>6204</v>
      </c>
      <c r="C12" s="28">
        <f>1193+1564+981</f>
        <v>3738</v>
      </c>
      <c r="D12" s="28">
        <f>17483+27795+24709</f>
        <v>69987</v>
      </c>
      <c r="E12" s="28">
        <v>0</v>
      </c>
      <c r="F12" s="28">
        <f>764+465+579</f>
        <v>1808</v>
      </c>
      <c r="G12" s="28">
        <f>1821+1137+1266</f>
        <v>4224</v>
      </c>
      <c r="H12" s="17"/>
      <c r="K12" s="1"/>
    </row>
    <row r="13" spans="1:8" ht="19.5" customHeight="1">
      <c r="A13" s="8" t="s">
        <v>10</v>
      </c>
      <c r="B13" s="28">
        <f>1970+1117+1174</f>
        <v>4261</v>
      </c>
      <c r="C13" s="28">
        <f>1158+853+776</f>
        <v>2787</v>
      </c>
      <c r="D13" s="28">
        <f>13364+15488+30646</f>
        <v>59498</v>
      </c>
      <c r="E13" s="28">
        <f>20+2+28</f>
        <v>50</v>
      </c>
      <c r="F13" s="28">
        <f>842+481+665</f>
        <v>1988</v>
      </c>
      <c r="G13" s="28">
        <f>3641+1752+1627</f>
        <v>7020</v>
      </c>
      <c r="H13" s="17"/>
    </row>
    <row r="14" spans="1:8" ht="19.5" customHeight="1">
      <c r="A14" s="8" t="s">
        <v>11</v>
      </c>
      <c r="B14" s="28">
        <f>8339+2546+3454</f>
        <v>14339</v>
      </c>
      <c r="C14" s="28">
        <f>2584+1226+1739</f>
        <v>5549</v>
      </c>
      <c r="D14" s="28">
        <f>30212+41700+31513</f>
        <v>103425</v>
      </c>
      <c r="E14" s="28">
        <v>0</v>
      </c>
      <c r="F14" s="28">
        <f>1056+631+1072</f>
        <v>2759</v>
      </c>
      <c r="G14" s="28">
        <f>2405+2324+2950</f>
        <v>7679</v>
      </c>
      <c r="H14" s="17"/>
    </row>
    <row r="15" spans="1:8" ht="19.5" customHeight="1">
      <c r="A15" s="8" t="s">
        <v>12</v>
      </c>
      <c r="B15" s="28">
        <f>3824+1240+2659</f>
        <v>7723</v>
      </c>
      <c r="C15" s="28">
        <f>3619+1757+2607</f>
        <v>7983</v>
      </c>
      <c r="D15" s="28">
        <f>58051+29596+23446</f>
        <v>111093</v>
      </c>
      <c r="E15" s="28">
        <f>14+474+11</f>
        <v>499</v>
      </c>
      <c r="F15" s="28">
        <f>4306+6976+3563</f>
        <v>14845</v>
      </c>
      <c r="G15" s="28">
        <f>14858+22952+10595</f>
        <v>48405</v>
      </c>
      <c r="H15" s="17"/>
    </row>
    <row r="16" spans="1:8" ht="19.5" customHeight="1">
      <c r="A16" s="8" t="s">
        <v>13</v>
      </c>
      <c r="B16" s="28">
        <f>4900+4439+2903</f>
        <v>12242</v>
      </c>
      <c r="C16" s="28">
        <f>3376+4351+2864</f>
        <v>10591</v>
      </c>
      <c r="D16" s="28">
        <f>47914+66537+39740</f>
        <v>154191</v>
      </c>
      <c r="E16" s="28">
        <f>8+0+3</f>
        <v>11</v>
      </c>
      <c r="F16" s="28">
        <f>3176+1425+2306</f>
        <v>6907</v>
      </c>
      <c r="G16" s="28">
        <f>7206+3110+4910</f>
        <v>15226</v>
      </c>
      <c r="H16" s="17"/>
    </row>
    <row r="17" spans="1:8" ht="19.5" customHeight="1">
      <c r="A17" s="8" t="s">
        <v>14</v>
      </c>
      <c r="B17" s="28">
        <f>2886+1307+2687</f>
        <v>6880</v>
      </c>
      <c r="C17" s="28">
        <f>2241+1142+1546</f>
        <v>4929</v>
      </c>
      <c r="D17" s="28">
        <f>48270+20604+36362</f>
        <v>105236</v>
      </c>
      <c r="E17" s="28">
        <f>0+1+45</f>
        <v>46</v>
      </c>
      <c r="F17" s="28">
        <f>1119+718+1039</f>
        <v>2876</v>
      </c>
      <c r="G17" s="28">
        <f>3326+1717+3055</f>
        <v>8098</v>
      </c>
      <c r="H17" s="17"/>
    </row>
    <row r="18" spans="1:8" ht="19.5" customHeight="1">
      <c r="A18" s="8" t="s">
        <v>15</v>
      </c>
      <c r="B18" s="28">
        <f>1296+1246+1314</f>
        <v>3856</v>
      </c>
      <c r="C18" s="28">
        <f>901+983+868</f>
        <v>2752</v>
      </c>
      <c r="D18" s="28">
        <f>16046+15492+20970</f>
        <v>52508</v>
      </c>
      <c r="E18" s="28">
        <v>1</v>
      </c>
      <c r="F18" s="28">
        <f>504+235+394</f>
        <v>1133</v>
      </c>
      <c r="G18" s="28">
        <f>1161+686+866</f>
        <v>2713</v>
      </c>
      <c r="H18" s="17"/>
    </row>
    <row r="19" spans="1:8" ht="19.5" customHeight="1">
      <c r="A19" s="9" t="s">
        <v>16</v>
      </c>
      <c r="B19" s="28">
        <f>2280+1663+1768</f>
        <v>5711</v>
      </c>
      <c r="C19" s="28">
        <f>1203+984+993</f>
        <v>3180</v>
      </c>
      <c r="D19" s="28">
        <f>19158+10685+12042</f>
        <v>41885</v>
      </c>
      <c r="E19" s="28">
        <f>6+19+9</f>
        <v>34</v>
      </c>
      <c r="F19" s="28">
        <f>515+366+523</f>
        <v>1404</v>
      </c>
      <c r="G19" s="28">
        <f>1083+799+1284</f>
        <v>3166</v>
      </c>
      <c r="H19" s="17"/>
    </row>
    <row r="20" spans="1:8" ht="19.5" customHeight="1">
      <c r="A20" s="8" t="s">
        <v>17</v>
      </c>
      <c r="B20" s="28">
        <f>996+590+677</f>
        <v>2263</v>
      </c>
      <c r="C20" s="28">
        <f>702+440+548</f>
        <v>1690</v>
      </c>
      <c r="D20" s="28">
        <f>26157+13841+11127</f>
        <v>51125</v>
      </c>
      <c r="E20" s="28">
        <f>1+15+2</f>
        <v>18</v>
      </c>
      <c r="F20" s="28">
        <f>629+393+512</f>
        <v>1534</v>
      </c>
      <c r="G20" s="28">
        <f>1382+910+1169</f>
        <v>3461</v>
      </c>
      <c r="H20" s="17"/>
    </row>
    <row r="21" spans="1:8" ht="19.5" customHeight="1">
      <c r="A21" s="8" t="s">
        <v>18</v>
      </c>
      <c r="B21" s="28">
        <f>1968+1071+1697</f>
        <v>4736</v>
      </c>
      <c r="C21" s="28">
        <f>679+541+810</f>
        <v>2030</v>
      </c>
      <c r="D21" s="28">
        <f>11811+8905+12563</f>
        <v>33279</v>
      </c>
      <c r="E21" s="28">
        <v>15</v>
      </c>
      <c r="F21" s="28">
        <f>508+809+568</f>
        <v>1885</v>
      </c>
      <c r="G21" s="28">
        <f>1005+1939+984</f>
        <v>3928</v>
      </c>
      <c r="H21" s="17"/>
    </row>
    <row r="22" spans="1:8" ht="19.5" customHeight="1">
      <c r="A22" s="8" t="s">
        <v>19</v>
      </c>
      <c r="B22" s="28">
        <f>2756+1538+1534</f>
        <v>5828</v>
      </c>
      <c r="C22" s="28">
        <f>1576+1055+1159</f>
        <v>3790</v>
      </c>
      <c r="D22" s="28">
        <f>53982+51165+46158</f>
        <v>151305</v>
      </c>
      <c r="E22" s="28">
        <v>21</v>
      </c>
      <c r="F22" s="28">
        <f>1454+1776+1163</f>
        <v>4393</v>
      </c>
      <c r="G22" s="28">
        <f>4101+4937+5177</f>
        <v>14215</v>
      </c>
      <c r="H22" s="17"/>
    </row>
    <row r="23" spans="1:8" ht="19.5" customHeight="1">
      <c r="A23" s="8" t="s">
        <v>20</v>
      </c>
      <c r="B23" s="28">
        <f>3434+3585+3007</f>
        <v>10026</v>
      </c>
      <c r="C23" s="28">
        <f>1332+1805+1729</f>
        <v>4866</v>
      </c>
      <c r="D23" s="28">
        <f>30501+69604+50499</f>
        <v>150604</v>
      </c>
      <c r="E23" s="28">
        <v>30</v>
      </c>
      <c r="F23" s="28">
        <f>1404+913+1337</f>
        <v>3654</v>
      </c>
      <c r="G23" s="28">
        <f>3436+2389+3234</f>
        <v>9059</v>
      </c>
      <c r="H23" s="17"/>
    </row>
    <row r="24" spans="1:8" ht="19.5" customHeight="1">
      <c r="A24" s="8" t="s">
        <v>21</v>
      </c>
      <c r="B24" s="28">
        <f>4443+3116+3590</f>
        <v>11149</v>
      </c>
      <c r="C24" s="28">
        <f>1570+1509+1276</f>
        <v>4355</v>
      </c>
      <c r="D24" s="28">
        <f>48121+66767+50622</f>
        <v>165510</v>
      </c>
      <c r="E24" s="28">
        <f>6+47</f>
        <v>53</v>
      </c>
      <c r="F24" s="28">
        <f>2125+981+1861</f>
        <v>4967</v>
      </c>
      <c r="G24" s="28">
        <f>5310+2589+5024</f>
        <v>12923</v>
      </c>
      <c r="H24" s="17"/>
    </row>
    <row r="25" spans="1:8" ht="19.5" customHeight="1">
      <c r="A25" s="8" t="s">
        <v>22</v>
      </c>
      <c r="B25" s="28">
        <f>2377+1648+2627</f>
        <v>6652</v>
      </c>
      <c r="C25" s="28">
        <f>1207+1227+1250</f>
        <v>3684</v>
      </c>
      <c r="D25" s="30">
        <f>13024+14792+12371</f>
        <v>40187</v>
      </c>
      <c r="E25" s="28">
        <v>5</v>
      </c>
      <c r="F25" s="30">
        <f>1079+858+1098</f>
        <v>3035</v>
      </c>
      <c r="G25" s="31">
        <f>2301+1919+2653</f>
        <v>6873</v>
      </c>
      <c r="H25" s="17"/>
    </row>
    <row r="26" spans="1:8" ht="19.5" customHeight="1">
      <c r="A26" s="8" t="s">
        <v>23</v>
      </c>
      <c r="B26" s="28">
        <f>1590+657+836</f>
        <v>3083</v>
      </c>
      <c r="C26" s="28">
        <f>2090+990+1239</f>
        <v>4319</v>
      </c>
      <c r="D26" s="28">
        <f>35356+38006+19480</f>
        <v>92842</v>
      </c>
      <c r="E26" s="28">
        <v>0</v>
      </c>
      <c r="F26" s="28">
        <f>690+644+614</f>
        <v>1948</v>
      </c>
      <c r="G26" s="28">
        <f>1421+1259+1242</f>
        <v>3922</v>
      </c>
      <c r="H26" s="17"/>
    </row>
    <row r="27" spans="1:8" ht="19.5" customHeight="1">
      <c r="A27" s="8" t="s">
        <v>24</v>
      </c>
      <c r="B27" s="28">
        <f>1309+996+992</f>
        <v>3297</v>
      </c>
      <c r="C27" s="28">
        <f>510+499+327</f>
        <v>1336</v>
      </c>
      <c r="D27" s="28">
        <f>6912+8786+4927</f>
        <v>20625</v>
      </c>
      <c r="E27" s="28">
        <v>54</v>
      </c>
      <c r="F27" s="28">
        <f>685+470+525</f>
        <v>1680</v>
      </c>
      <c r="G27" s="28">
        <f>1074+822+854</f>
        <v>2750</v>
      </c>
      <c r="H27" s="17"/>
    </row>
    <row r="28" spans="1:8" ht="19.5" customHeight="1">
      <c r="A28" s="8" t="s">
        <v>25</v>
      </c>
      <c r="B28" s="28">
        <f>914+411+779</f>
        <v>2104</v>
      </c>
      <c r="C28" s="28">
        <f>389+216+178</f>
        <v>783</v>
      </c>
      <c r="D28" s="28">
        <f>9293+4203+1495</f>
        <v>14991</v>
      </c>
      <c r="E28" s="28">
        <v>0</v>
      </c>
      <c r="F28" s="28">
        <f>231+216+274</f>
        <v>721</v>
      </c>
      <c r="G28" s="28">
        <f>323+419+470</f>
        <v>1212</v>
      </c>
      <c r="H28" s="17"/>
    </row>
    <row r="29" spans="1:8" ht="19.5" customHeight="1">
      <c r="A29" s="8" t="s">
        <v>26</v>
      </c>
      <c r="B29" s="28">
        <f>132+146+124</f>
        <v>402</v>
      </c>
      <c r="C29" s="28">
        <f>225+245+143</f>
        <v>613</v>
      </c>
      <c r="D29" s="28">
        <f>601+710+287</f>
        <v>1598</v>
      </c>
      <c r="E29" s="28">
        <v>0</v>
      </c>
      <c r="F29" s="28">
        <f>58+25+56</f>
        <v>139</v>
      </c>
      <c r="G29" s="28">
        <f>181+45+155</f>
        <v>381</v>
      </c>
      <c r="H29" s="17"/>
    </row>
    <row r="30" spans="1:8" ht="19.5" customHeight="1">
      <c r="A30" s="7" t="s">
        <v>34</v>
      </c>
      <c r="B30" s="28">
        <f>7850+4776+4458</f>
        <v>17084</v>
      </c>
      <c r="C30" s="28">
        <f>6150+8439+6070</f>
        <v>20659</v>
      </c>
      <c r="D30" s="28">
        <f>369247+391076+235857</f>
        <v>996180</v>
      </c>
      <c r="E30" s="28">
        <f>132+36+19</f>
        <v>187</v>
      </c>
      <c r="F30" s="28">
        <f>8539+6762+5674</f>
        <v>20975</v>
      </c>
      <c r="G30" s="28">
        <f>25310+17912+18463</f>
        <v>61685</v>
      </c>
      <c r="H30" s="17"/>
    </row>
    <row r="31" spans="1:8" ht="19.5" customHeight="1" thickBot="1">
      <c r="A31" s="10" t="s">
        <v>35</v>
      </c>
      <c r="B31" s="27">
        <f>3081+1576+1677</f>
        <v>6334</v>
      </c>
      <c r="C31" s="27">
        <f>2805+2469+2283</f>
        <v>7557</v>
      </c>
      <c r="D31" s="27">
        <f>76123+62847+52623</f>
        <v>191593</v>
      </c>
      <c r="E31" s="27">
        <f>52+17+63</f>
        <v>132</v>
      </c>
      <c r="F31" s="27">
        <f>3789+2331+2366</f>
        <v>8486</v>
      </c>
      <c r="G31" s="27">
        <f>13151+8182+7958</f>
        <v>29291</v>
      </c>
      <c r="H31" s="19"/>
    </row>
    <row r="32" spans="1:8" ht="19.5" customHeight="1" thickTop="1">
      <c r="A32" s="11" t="s">
        <v>36</v>
      </c>
      <c r="B32" s="11"/>
      <c r="C32" s="11"/>
      <c r="D32" s="11"/>
      <c r="E32" s="11"/>
      <c r="F32" s="20"/>
      <c r="G32" s="11"/>
      <c r="H32" s="11"/>
    </row>
    <row r="33" spans="1:8" ht="19.5" customHeight="1">
      <c r="A33" s="11" t="s">
        <v>37</v>
      </c>
      <c r="B33" s="11"/>
      <c r="C33" s="11"/>
      <c r="D33" s="11"/>
      <c r="E33" s="11"/>
      <c r="F33" s="20"/>
      <c r="G33" s="11"/>
      <c r="H33" s="11"/>
    </row>
    <row r="34" spans="1:8" ht="19.5" customHeight="1">
      <c r="A34" s="11" t="s">
        <v>38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39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</sheetData>
  <mergeCells count="3">
    <mergeCell ref="D5:D6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H3" sqref="H3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1" t="s">
        <v>41</v>
      </c>
      <c r="B1" s="21" t="s">
        <v>0</v>
      </c>
      <c r="C1" s="22"/>
      <c r="D1" s="22"/>
      <c r="E1" s="11"/>
      <c r="F1" s="11"/>
      <c r="G1" s="11"/>
      <c r="H1" s="11"/>
    </row>
    <row r="2" spans="1:8" ht="19.5" customHeight="1">
      <c r="A2" s="21"/>
      <c r="B2" s="21"/>
      <c r="C2" s="22"/>
      <c r="D2" s="22"/>
      <c r="E2" s="11"/>
      <c r="F2" s="11"/>
      <c r="G2" s="11"/>
      <c r="H2" s="11"/>
    </row>
    <row r="3" spans="1:8" ht="19.5" customHeight="1" thickBot="1">
      <c r="A3" s="2" t="s">
        <v>52</v>
      </c>
      <c r="B3" s="11"/>
      <c r="C3" s="11"/>
      <c r="D3" s="11"/>
      <c r="E3" s="11"/>
      <c r="F3" s="11"/>
      <c r="G3" s="11"/>
      <c r="H3" s="2" t="s">
        <v>56</v>
      </c>
    </row>
    <row r="4" spans="1:8" ht="19.5" customHeight="1" thickTop="1">
      <c r="A4" s="37" t="s">
        <v>42</v>
      </c>
      <c r="B4" s="3" t="s">
        <v>30</v>
      </c>
      <c r="C4" s="12"/>
      <c r="D4" s="12"/>
      <c r="E4" s="3" t="s">
        <v>31</v>
      </c>
      <c r="F4" s="12"/>
      <c r="G4" s="12"/>
      <c r="H4" s="40" t="s">
        <v>32</v>
      </c>
    </row>
    <row r="5" spans="1:8" ht="19.5" customHeight="1">
      <c r="A5" s="38"/>
      <c r="B5" s="4" t="s">
        <v>1</v>
      </c>
      <c r="C5" s="14"/>
      <c r="D5" s="35" t="s">
        <v>2</v>
      </c>
      <c r="E5" s="4" t="s">
        <v>1</v>
      </c>
      <c r="F5" s="14"/>
      <c r="G5" s="35" t="s">
        <v>2</v>
      </c>
      <c r="H5" s="41"/>
    </row>
    <row r="6" spans="1:8" ht="19.5" customHeight="1">
      <c r="A6" s="39"/>
      <c r="B6" s="26" t="s">
        <v>3</v>
      </c>
      <c r="C6" s="26" t="s">
        <v>4</v>
      </c>
      <c r="D6" s="36"/>
      <c r="E6" s="26" t="s">
        <v>3</v>
      </c>
      <c r="F6" s="26" t="s">
        <v>4</v>
      </c>
      <c r="G6" s="36"/>
      <c r="H6" s="42"/>
    </row>
    <row r="7" spans="1:8" ht="19.5" customHeight="1">
      <c r="A7" s="6" t="s">
        <v>5</v>
      </c>
      <c r="B7" s="28">
        <f aca="true" t="shared" si="0" ref="B7:G7">B8+B30+B31</f>
        <v>190527</v>
      </c>
      <c r="C7" s="28">
        <f t="shared" si="0"/>
        <v>99964</v>
      </c>
      <c r="D7" s="28">
        <f t="shared" si="0"/>
        <v>1811345</v>
      </c>
      <c r="E7" s="28">
        <f t="shared" si="0"/>
        <v>2128</v>
      </c>
      <c r="F7" s="28">
        <f t="shared" si="0"/>
        <v>124795</v>
      </c>
      <c r="G7" s="28">
        <f t="shared" si="0"/>
        <v>324171</v>
      </c>
      <c r="H7" s="17"/>
    </row>
    <row r="8" spans="1:8" ht="19.5" customHeight="1">
      <c r="A8" s="7" t="s">
        <v>33</v>
      </c>
      <c r="B8" s="28">
        <f aca="true" t="shared" si="1" ref="B8:G8">SUM(B9:B29)</f>
        <v>167346</v>
      </c>
      <c r="C8" s="28">
        <f t="shared" si="1"/>
        <v>79825</v>
      </c>
      <c r="D8" s="28">
        <f t="shared" si="1"/>
        <v>1309991</v>
      </c>
      <c r="E8" s="28">
        <f t="shared" si="1"/>
        <v>1987</v>
      </c>
      <c r="F8" s="28">
        <f t="shared" si="1"/>
        <v>97917</v>
      </c>
      <c r="G8" s="28">
        <f t="shared" si="1"/>
        <v>245491</v>
      </c>
      <c r="H8" s="17"/>
    </row>
    <row r="9" spans="1:8" ht="19.5" customHeight="1">
      <c r="A9" s="8" t="s">
        <v>6</v>
      </c>
      <c r="B9" s="28">
        <f>1059+1297+1240</f>
        <v>3596</v>
      </c>
      <c r="C9" s="28">
        <f>670+737+546</f>
        <v>1953</v>
      </c>
      <c r="D9" s="28">
        <f>2965+4946+16552</f>
        <v>24463</v>
      </c>
      <c r="E9" s="28">
        <v>0</v>
      </c>
      <c r="F9" s="28">
        <f>818+997+951</f>
        <v>2766</v>
      </c>
      <c r="G9" s="28">
        <f>1420+1662+1729</f>
        <v>4811</v>
      </c>
      <c r="H9" s="17"/>
    </row>
    <row r="10" spans="1:8" ht="19.5" customHeight="1">
      <c r="A10" s="8" t="s">
        <v>7</v>
      </c>
      <c r="B10" s="28">
        <f>10225+11698+12422</f>
        <v>34345</v>
      </c>
      <c r="C10" s="28">
        <f>5154+5134+4858</f>
        <v>15146</v>
      </c>
      <c r="D10" s="28">
        <f>159231+107750+88172</f>
        <v>355153</v>
      </c>
      <c r="E10" s="28">
        <v>32</v>
      </c>
      <c r="F10" s="28">
        <f>8285+8272+9040</f>
        <v>25597</v>
      </c>
      <c r="G10" s="28">
        <f>17883+18823+25634</f>
        <v>62340</v>
      </c>
      <c r="H10" s="17"/>
    </row>
    <row r="11" spans="1:8" ht="19.5" customHeight="1">
      <c r="A11" s="8" t="s">
        <v>8</v>
      </c>
      <c r="B11" s="28">
        <f>4976+5551+7667</f>
        <v>18194</v>
      </c>
      <c r="C11" s="28">
        <f>3989+4418+4976</f>
        <v>13383</v>
      </c>
      <c r="D11" s="28">
        <f>50977+43608+80664</f>
        <v>175249</v>
      </c>
      <c r="E11" s="28">
        <f>90+274+42</f>
        <v>406</v>
      </c>
      <c r="F11" s="28">
        <f>5226+5589+5416</f>
        <v>16231</v>
      </c>
      <c r="G11" s="28">
        <f>13477+14190+13228</f>
        <v>40895</v>
      </c>
      <c r="H11" s="17"/>
    </row>
    <row r="12" spans="1:8" ht="19.5" customHeight="1">
      <c r="A12" s="8" t="s">
        <v>9</v>
      </c>
      <c r="B12" s="28">
        <f>2406+1855+2050</f>
        <v>6311</v>
      </c>
      <c r="C12" s="28">
        <f>1089+739+762</f>
        <v>2590</v>
      </c>
      <c r="D12" s="28">
        <f>17367+8001+8736</f>
        <v>34104</v>
      </c>
      <c r="E12" s="28">
        <v>0</v>
      </c>
      <c r="F12" s="28">
        <f>527+498+562</f>
        <v>1587</v>
      </c>
      <c r="G12" s="28">
        <f>1188+1272+1297</f>
        <v>3757</v>
      </c>
      <c r="H12" s="17"/>
    </row>
    <row r="13" spans="1:8" ht="19.5" customHeight="1">
      <c r="A13" s="8" t="s">
        <v>10</v>
      </c>
      <c r="B13" s="28">
        <f>1155+1769+1153</f>
        <v>4077</v>
      </c>
      <c r="C13" s="28">
        <f>422+591+439</f>
        <v>1452</v>
      </c>
      <c r="D13" s="28">
        <f>2709+7672+7111</f>
        <v>17492</v>
      </c>
      <c r="E13" s="28">
        <f>181+2+31</f>
        <v>214</v>
      </c>
      <c r="F13" s="28">
        <f>733+712+746</f>
        <v>2191</v>
      </c>
      <c r="G13" s="28">
        <f>1541+1550+2126</f>
        <v>5217</v>
      </c>
      <c r="H13" s="17"/>
    </row>
    <row r="14" spans="1:8" ht="19.5" customHeight="1">
      <c r="A14" s="8" t="s">
        <v>11</v>
      </c>
      <c r="B14" s="28">
        <f>2540+2984+2434</f>
        <v>7958</v>
      </c>
      <c r="C14" s="28">
        <f>672+729+630</f>
        <v>2031</v>
      </c>
      <c r="D14" s="28">
        <f>15546+9903+7023</f>
        <v>32472</v>
      </c>
      <c r="E14" s="28">
        <v>0</v>
      </c>
      <c r="F14" s="28">
        <f>928+1084+1175</f>
        <v>3187</v>
      </c>
      <c r="G14" s="28">
        <f>1949+2901+2835</f>
        <v>7685</v>
      </c>
      <c r="H14" s="17"/>
    </row>
    <row r="15" spans="1:8" ht="19.5" customHeight="1">
      <c r="A15" s="8" t="s">
        <v>12</v>
      </c>
      <c r="B15" s="28">
        <f>1702+1960+3172</f>
        <v>6834</v>
      </c>
      <c r="C15" s="28">
        <f>1374+1561+2045</f>
        <v>4980</v>
      </c>
      <c r="D15" s="28">
        <f>15232+11992+20492</f>
        <v>47716</v>
      </c>
      <c r="E15" s="28">
        <f>102+428+21</f>
        <v>551</v>
      </c>
      <c r="F15" s="28">
        <f>3338+3566+3432</f>
        <v>10336</v>
      </c>
      <c r="G15" s="28">
        <f>9321+9511+9276</f>
        <v>28108</v>
      </c>
      <c r="H15" s="17"/>
    </row>
    <row r="16" spans="1:8" ht="19.5" customHeight="1">
      <c r="A16" s="8" t="s">
        <v>13</v>
      </c>
      <c r="B16" s="28">
        <f>4731+4134+4276</f>
        <v>13141</v>
      </c>
      <c r="C16" s="28">
        <f>2950+2340+2420</f>
        <v>7710</v>
      </c>
      <c r="D16" s="28">
        <f>28356+24313+41292</f>
        <v>93961</v>
      </c>
      <c r="E16" s="28">
        <f>7+33+1</f>
        <v>41</v>
      </c>
      <c r="F16" s="28">
        <f>1938+2008+2428</f>
        <v>6374</v>
      </c>
      <c r="G16" s="28">
        <f>4313+4279+4857</f>
        <v>13449</v>
      </c>
      <c r="H16" s="17"/>
    </row>
    <row r="17" spans="1:8" ht="19.5" customHeight="1">
      <c r="A17" s="8" t="s">
        <v>14</v>
      </c>
      <c r="B17" s="28">
        <f>2826+2662+2416</f>
        <v>7904</v>
      </c>
      <c r="C17" s="28">
        <f>1157+1215+1229</f>
        <v>3601</v>
      </c>
      <c r="D17" s="28">
        <f>19301+22512+24193</f>
        <v>66006</v>
      </c>
      <c r="E17" s="28">
        <v>62</v>
      </c>
      <c r="F17" s="28">
        <f>904+903+963</f>
        <v>2770</v>
      </c>
      <c r="G17" s="28">
        <f>2715+2561+2691</f>
        <v>7967</v>
      </c>
      <c r="H17" s="17"/>
    </row>
    <row r="18" spans="1:8" ht="19.5" customHeight="1">
      <c r="A18" s="8" t="s">
        <v>15</v>
      </c>
      <c r="B18" s="28">
        <f>1393+1446+1518</f>
        <v>4357</v>
      </c>
      <c r="C18" s="28">
        <f>526+469+545</f>
        <v>1540</v>
      </c>
      <c r="D18" s="28">
        <f>8103+9257+10087</f>
        <v>27447</v>
      </c>
      <c r="E18" s="28">
        <v>0</v>
      </c>
      <c r="F18" s="28">
        <f>379+396+375</f>
        <v>1150</v>
      </c>
      <c r="G18" s="28">
        <f>971+994+850</f>
        <v>2815</v>
      </c>
      <c r="H18" s="17"/>
    </row>
    <row r="19" spans="1:8" ht="19.5" customHeight="1">
      <c r="A19" s="9" t="s">
        <v>16</v>
      </c>
      <c r="B19" s="28">
        <f>2003+2027+1938</f>
        <v>5968</v>
      </c>
      <c r="C19" s="28">
        <f>610+706+593</f>
        <v>1909</v>
      </c>
      <c r="D19" s="28">
        <f>7546+9873+7113</f>
        <v>24532</v>
      </c>
      <c r="E19" s="28">
        <v>7</v>
      </c>
      <c r="F19" s="28">
        <f>457+452+635</f>
        <v>1544</v>
      </c>
      <c r="G19" s="28">
        <f>1152+981+2353</f>
        <v>4486</v>
      </c>
      <c r="H19" s="17"/>
    </row>
    <row r="20" spans="1:8" ht="19.5" customHeight="1">
      <c r="A20" s="8" t="s">
        <v>17</v>
      </c>
      <c r="B20" s="28">
        <f>623+736+670</f>
        <v>2029</v>
      </c>
      <c r="C20" s="28">
        <f>246+566+400</f>
        <v>1212</v>
      </c>
      <c r="D20" s="28">
        <f>2533+9205+13096</f>
        <v>24834</v>
      </c>
      <c r="E20" s="28">
        <v>0</v>
      </c>
      <c r="F20" s="28">
        <f>455+557+568</f>
        <v>1580</v>
      </c>
      <c r="G20" s="28">
        <f>1013+1344+1411</f>
        <v>3768</v>
      </c>
      <c r="H20" s="17"/>
    </row>
    <row r="21" spans="1:8" ht="19.5" customHeight="1">
      <c r="A21" s="8" t="s">
        <v>18</v>
      </c>
      <c r="B21" s="32">
        <f>1659+1858+1500</f>
        <v>5017</v>
      </c>
      <c r="C21" s="28">
        <f>540+486+415</f>
        <v>1441</v>
      </c>
      <c r="D21" s="28">
        <f>10502+4031+4034</f>
        <v>18567</v>
      </c>
      <c r="E21" s="28">
        <v>1</v>
      </c>
      <c r="F21" s="28">
        <f>450+493+393</f>
        <v>1336</v>
      </c>
      <c r="G21" s="28">
        <f>891+1136+847</f>
        <v>2874</v>
      </c>
      <c r="H21" s="17"/>
    </row>
    <row r="22" spans="1:8" ht="19.5" customHeight="1">
      <c r="A22" s="8" t="s">
        <v>19</v>
      </c>
      <c r="B22" s="28">
        <f>2211+1359+1603</f>
        <v>5173</v>
      </c>
      <c r="C22" s="28">
        <f>894+767+711</f>
        <v>2372</v>
      </c>
      <c r="D22" s="28">
        <f>20766+11280+21839</f>
        <v>53885</v>
      </c>
      <c r="E22" s="28">
        <f>481+74+41</f>
        <v>596</v>
      </c>
      <c r="F22" s="28">
        <f>1244+1612+1612</f>
        <v>4468</v>
      </c>
      <c r="G22" s="28">
        <f>3427+4606+9719</f>
        <v>17752</v>
      </c>
      <c r="H22" s="17"/>
    </row>
    <row r="23" spans="1:8" ht="19.5" customHeight="1">
      <c r="A23" s="8" t="s">
        <v>20</v>
      </c>
      <c r="B23" s="28">
        <f>4229+4063+4040</f>
        <v>12332</v>
      </c>
      <c r="C23" s="28">
        <f>1128+1137+1435</f>
        <v>3700</v>
      </c>
      <c r="D23" s="28">
        <f>25673+19698+32277</f>
        <v>77648</v>
      </c>
      <c r="E23" s="28">
        <f>8+16</f>
        <v>24</v>
      </c>
      <c r="F23" s="28">
        <f>1267+1089+1261</f>
        <v>3617</v>
      </c>
      <c r="G23" s="28">
        <f>3248+2758+3230</f>
        <v>9236</v>
      </c>
      <c r="H23" s="17"/>
    </row>
    <row r="24" spans="1:8" ht="19.5" customHeight="1">
      <c r="A24" s="8" t="s">
        <v>21</v>
      </c>
      <c r="B24" s="28">
        <f>4366+4617+3573</f>
        <v>12556</v>
      </c>
      <c r="C24" s="28">
        <f>978+1079+938</f>
        <v>2995</v>
      </c>
      <c r="D24" s="28">
        <f>20312+32981+19700</f>
        <v>72993</v>
      </c>
      <c r="E24" s="28">
        <v>11</v>
      </c>
      <c r="F24" s="28">
        <f>1676+1740+1559</f>
        <v>4975</v>
      </c>
      <c r="G24" s="28">
        <f>4359+4746+3829</f>
        <v>12934</v>
      </c>
      <c r="H24" s="17"/>
    </row>
    <row r="25" spans="1:8" ht="19.5" customHeight="1">
      <c r="A25" s="8" t="s">
        <v>22</v>
      </c>
      <c r="B25" s="28">
        <f>2202+2519+2509</f>
        <v>7230</v>
      </c>
      <c r="C25" s="28">
        <f>1083+1048+1091</f>
        <v>3222</v>
      </c>
      <c r="D25" s="28">
        <f>12537+18722+10530</f>
        <v>41789</v>
      </c>
      <c r="E25" s="28">
        <f>6+22+12</f>
        <v>40</v>
      </c>
      <c r="F25" s="28">
        <f>908+959+1162</f>
        <v>3029</v>
      </c>
      <c r="G25" s="28">
        <f>2324+2758+2393</f>
        <v>7475</v>
      </c>
      <c r="H25" s="17"/>
    </row>
    <row r="26" spans="1:8" ht="19.5" customHeight="1">
      <c r="A26" s="8" t="s">
        <v>23</v>
      </c>
      <c r="B26" s="28">
        <f>1297+1108+1177</f>
        <v>3582</v>
      </c>
      <c r="C26" s="28">
        <f>2331+1857+1941</f>
        <v>6129</v>
      </c>
      <c r="D26" s="28">
        <f>44370+34950+20892</f>
        <v>100212</v>
      </c>
      <c r="E26" s="28">
        <v>0</v>
      </c>
      <c r="F26" s="28">
        <f>740+690+778</f>
        <v>2208</v>
      </c>
      <c r="G26" s="28">
        <f>1541+1456+1914</f>
        <v>4911</v>
      </c>
      <c r="H26" s="17"/>
    </row>
    <row r="27" spans="1:8" ht="19.5" customHeight="1">
      <c r="A27" s="8" t="s">
        <v>24</v>
      </c>
      <c r="B27" s="28">
        <f>1187+1244+1338</f>
        <v>3769</v>
      </c>
      <c r="C27" s="28">
        <f>309+349+354</f>
        <v>1012</v>
      </c>
      <c r="D27" s="28">
        <f>3021+5484+5081</f>
        <v>13586</v>
      </c>
      <c r="E27" s="28">
        <v>2</v>
      </c>
      <c r="F27" s="28">
        <f>619+636+763</f>
        <v>2018</v>
      </c>
      <c r="G27" s="28">
        <f>924+1051+1491</f>
        <v>3466</v>
      </c>
      <c r="H27" s="17"/>
    </row>
    <row r="28" spans="1:8" ht="19.5" customHeight="1">
      <c r="A28" s="8" t="s">
        <v>25</v>
      </c>
      <c r="B28" s="28">
        <f>919+931+646</f>
        <v>2496</v>
      </c>
      <c r="C28" s="28">
        <f>262+229+182</f>
        <v>673</v>
      </c>
      <c r="D28" s="28">
        <f>2254+1871+2049</f>
        <v>6174</v>
      </c>
      <c r="E28" s="28">
        <v>0</v>
      </c>
      <c r="F28" s="28">
        <f>288+252+270</f>
        <v>810</v>
      </c>
      <c r="G28" s="28">
        <f>449+387+411</f>
        <v>1247</v>
      </c>
      <c r="H28" s="17"/>
    </row>
    <row r="29" spans="1:8" ht="19.5" customHeight="1">
      <c r="A29" s="8" t="s">
        <v>26</v>
      </c>
      <c r="B29" s="28">
        <f>145+155+177</f>
        <v>477</v>
      </c>
      <c r="C29" s="28">
        <f>150+288+336</f>
        <v>774</v>
      </c>
      <c r="D29" s="28">
        <f>329+642+737</f>
        <v>1708</v>
      </c>
      <c r="E29" s="28">
        <v>0</v>
      </c>
      <c r="F29" s="28">
        <f>51+58+34</f>
        <v>143</v>
      </c>
      <c r="G29" s="28">
        <f>73+167+58</f>
        <v>298</v>
      </c>
      <c r="H29" s="17"/>
    </row>
    <row r="30" spans="1:8" ht="19.5" customHeight="1">
      <c r="A30" s="7" t="s">
        <v>34</v>
      </c>
      <c r="B30" s="28">
        <f>6556+4936+5628</f>
        <v>17120</v>
      </c>
      <c r="C30" s="28">
        <f>4643+4068+4978</f>
        <v>13689</v>
      </c>
      <c r="D30" s="28">
        <f>169015+102798+118444</f>
        <v>390257</v>
      </c>
      <c r="E30" s="28">
        <f>10+5+4</f>
        <v>19</v>
      </c>
      <c r="F30" s="28">
        <f>6422+5695+6043</f>
        <v>18160</v>
      </c>
      <c r="G30" s="28">
        <f>18382+14928+16740</f>
        <v>50050</v>
      </c>
      <c r="H30" s="17"/>
    </row>
    <row r="31" spans="1:8" ht="19.5" customHeight="1" thickBot="1">
      <c r="A31" s="10" t="s">
        <v>35</v>
      </c>
      <c r="B31" s="27">
        <f>2105+1964+1992</f>
        <v>6061</v>
      </c>
      <c r="C31" s="27">
        <f>2110+2415+1925</f>
        <v>6450</v>
      </c>
      <c r="D31" s="27">
        <f>36185+45779+29133</f>
        <v>111097</v>
      </c>
      <c r="E31" s="27">
        <f>68+26+28</f>
        <v>122</v>
      </c>
      <c r="F31" s="27">
        <f>2966+3101+2651</f>
        <v>8718</v>
      </c>
      <c r="G31" s="27">
        <f>9646+10167+8817</f>
        <v>28630</v>
      </c>
      <c r="H31" s="19"/>
    </row>
    <row r="32" spans="1:8" ht="19.5" customHeight="1" thickTop="1">
      <c r="A32" s="11" t="s">
        <v>36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37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38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39</v>
      </c>
      <c r="B35" s="11"/>
      <c r="C35" s="11"/>
      <c r="D35" s="11"/>
      <c r="E35" s="11"/>
      <c r="F35" s="11"/>
      <c r="G35" s="11"/>
      <c r="H35" s="11"/>
    </row>
    <row r="36" ht="19.5" customHeight="1"/>
    <row r="37" ht="19.5" customHeight="1"/>
  </sheetData>
  <mergeCells count="4">
    <mergeCell ref="D5:D6"/>
    <mergeCell ref="G5:G6"/>
    <mergeCell ref="H4:H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7" sqref="B7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1" t="s">
        <v>40</v>
      </c>
      <c r="B1" s="21" t="s">
        <v>0</v>
      </c>
      <c r="C1" s="22"/>
      <c r="D1" s="11"/>
      <c r="E1" s="11"/>
      <c r="F1" s="11"/>
      <c r="G1" s="11"/>
      <c r="H1" s="11"/>
    </row>
    <row r="2" spans="1:8" ht="19.5" customHeight="1">
      <c r="A2" s="21"/>
      <c r="B2" s="21"/>
      <c r="C2" s="22"/>
      <c r="D2" s="11"/>
      <c r="E2" s="11"/>
      <c r="F2" s="11"/>
      <c r="G2" s="11"/>
      <c r="H2" s="11"/>
    </row>
    <row r="3" spans="1:8" ht="19.5" customHeight="1" thickBot="1">
      <c r="A3" s="2" t="s">
        <v>53</v>
      </c>
      <c r="B3" s="11"/>
      <c r="C3" s="11"/>
      <c r="D3" s="11"/>
      <c r="E3" s="11"/>
      <c r="F3" s="11"/>
      <c r="G3" s="11"/>
      <c r="H3" s="2" t="s">
        <v>29</v>
      </c>
    </row>
    <row r="4" spans="1:8" ht="19.5" customHeight="1" thickTop="1">
      <c r="A4" s="37" t="s">
        <v>42</v>
      </c>
      <c r="B4" s="3" t="s">
        <v>30</v>
      </c>
      <c r="C4" s="12"/>
      <c r="D4" s="12"/>
      <c r="E4" s="3" t="s">
        <v>31</v>
      </c>
      <c r="F4" s="12"/>
      <c r="G4" s="12"/>
      <c r="H4" s="13"/>
    </row>
    <row r="5" spans="1:8" ht="19.5" customHeight="1">
      <c r="A5" s="38"/>
      <c r="B5" s="4" t="s">
        <v>1</v>
      </c>
      <c r="C5" s="14"/>
      <c r="D5" s="35" t="s">
        <v>2</v>
      </c>
      <c r="E5" s="4" t="s">
        <v>1</v>
      </c>
      <c r="F5" s="14"/>
      <c r="G5" s="35" t="s">
        <v>2</v>
      </c>
      <c r="H5" s="5" t="s">
        <v>32</v>
      </c>
    </row>
    <row r="6" spans="1:8" ht="19.5" customHeight="1">
      <c r="A6" s="39"/>
      <c r="B6" s="26" t="s">
        <v>3</v>
      </c>
      <c r="C6" s="26" t="s">
        <v>4</v>
      </c>
      <c r="D6" s="36"/>
      <c r="E6" s="26" t="s">
        <v>3</v>
      </c>
      <c r="F6" s="26" t="s">
        <v>4</v>
      </c>
      <c r="G6" s="36"/>
      <c r="H6" s="15"/>
    </row>
    <row r="7" spans="1:8" ht="19.5" customHeight="1">
      <c r="A7" s="6" t="s">
        <v>5</v>
      </c>
      <c r="B7" s="28">
        <f aca="true" t="shared" si="0" ref="B7:G7">B8+B30+B31</f>
        <v>194283</v>
      </c>
      <c r="C7" s="28">
        <f t="shared" si="0"/>
        <v>89400</v>
      </c>
      <c r="D7" s="28">
        <f t="shared" si="0"/>
        <v>1608899</v>
      </c>
      <c r="E7" s="28">
        <f t="shared" si="0"/>
        <v>2061</v>
      </c>
      <c r="F7" s="28">
        <f t="shared" si="0"/>
        <v>121691</v>
      </c>
      <c r="G7" s="28">
        <f t="shared" si="0"/>
        <v>319198</v>
      </c>
      <c r="H7" s="17"/>
    </row>
    <row r="8" spans="1:8" ht="19.5" customHeight="1">
      <c r="A8" s="7" t="s">
        <v>33</v>
      </c>
      <c r="B8" s="28">
        <f aca="true" t="shared" si="1" ref="B8:G8">SUM(B9:B29)</f>
        <v>167988</v>
      </c>
      <c r="C8" s="28">
        <f t="shared" si="1"/>
        <v>72755</v>
      </c>
      <c r="D8" s="28">
        <f t="shared" si="1"/>
        <v>1118285</v>
      </c>
      <c r="E8" s="28">
        <f t="shared" si="1"/>
        <v>1796</v>
      </c>
      <c r="F8" s="28">
        <f t="shared" si="1"/>
        <v>96412</v>
      </c>
      <c r="G8" s="28">
        <f t="shared" si="1"/>
        <v>237062</v>
      </c>
      <c r="H8" s="17"/>
    </row>
    <row r="9" spans="1:8" ht="19.5" customHeight="1">
      <c r="A9" s="8" t="s">
        <v>6</v>
      </c>
      <c r="B9" s="28">
        <f>1107+1213+1076</f>
        <v>3396</v>
      </c>
      <c r="C9" s="28">
        <f>508+602+542</f>
        <v>1652</v>
      </c>
      <c r="D9" s="28">
        <f>5681+2459+3118</f>
        <v>11258</v>
      </c>
      <c r="E9" s="28">
        <v>4</v>
      </c>
      <c r="F9" s="28">
        <f>807+761+960</f>
        <v>2528</v>
      </c>
      <c r="G9" s="28">
        <f>1463+1540+3285</f>
        <v>6288</v>
      </c>
      <c r="H9" s="17"/>
    </row>
    <row r="10" spans="1:8" ht="19.5" customHeight="1">
      <c r="A10" s="8" t="s">
        <v>7</v>
      </c>
      <c r="B10" s="28">
        <f>12385+11012+12928</f>
        <v>36325</v>
      </c>
      <c r="C10" s="28">
        <f>5333+4886+4733</f>
        <v>14952</v>
      </c>
      <c r="D10" s="28">
        <f>95674+93483+77715</f>
        <v>266872</v>
      </c>
      <c r="E10" s="28">
        <v>19</v>
      </c>
      <c r="F10" s="28">
        <f>8277+8509+8607</f>
        <v>25393</v>
      </c>
      <c r="G10" s="28">
        <f>18830+18966+19514</f>
        <v>57310</v>
      </c>
      <c r="H10" s="17"/>
    </row>
    <row r="11" spans="1:8" ht="19.5" customHeight="1">
      <c r="A11" s="8" t="s">
        <v>8</v>
      </c>
      <c r="B11" s="28">
        <f>7161+5347+6937</f>
        <v>19445</v>
      </c>
      <c r="C11" s="28">
        <f>4237+3681+4807</f>
        <v>12725</v>
      </c>
      <c r="D11" s="28">
        <f>47515+50363+58236</f>
        <v>156114</v>
      </c>
      <c r="E11" s="28">
        <f>119+119+42</f>
        <v>280</v>
      </c>
      <c r="F11" s="28">
        <f>5293+5092+4697</f>
        <v>15082</v>
      </c>
      <c r="G11" s="28">
        <f>13565+13253+14248</f>
        <v>41066</v>
      </c>
      <c r="H11" s="17"/>
    </row>
    <row r="12" spans="1:8" ht="19.5" customHeight="1">
      <c r="A12" s="8" t="s">
        <v>9</v>
      </c>
      <c r="B12" s="28">
        <f>2069+1713+2026</f>
        <v>5808</v>
      </c>
      <c r="C12" s="28">
        <f>658+606+591</f>
        <v>1855</v>
      </c>
      <c r="D12" s="28">
        <f>7650+9777+6688</f>
        <v>24115</v>
      </c>
      <c r="E12" s="28">
        <v>0</v>
      </c>
      <c r="F12" s="28">
        <f>476+488+537</f>
        <v>1501</v>
      </c>
      <c r="G12" s="28">
        <f>995+1321+1529</f>
        <v>3845</v>
      </c>
      <c r="H12" s="17"/>
    </row>
    <row r="13" spans="1:8" ht="19.5" customHeight="1">
      <c r="A13" s="8" t="s">
        <v>10</v>
      </c>
      <c r="B13" s="28">
        <f>2242+1383+1191</f>
        <v>4816</v>
      </c>
      <c r="C13" s="28">
        <f>607+427+492</f>
        <v>1526</v>
      </c>
      <c r="D13" s="28">
        <f>9230+4905+8046</f>
        <v>22181</v>
      </c>
      <c r="E13" s="28">
        <v>39</v>
      </c>
      <c r="F13" s="28">
        <f>883+638+842</f>
        <v>2363</v>
      </c>
      <c r="G13" s="28">
        <f>1823+1292+1777</f>
        <v>4892</v>
      </c>
      <c r="H13" s="17"/>
    </row>
    <row r="14" spans="1:8" ht="19.5" customHeight="1">
      <c r="A14" s="8" t="s">
        <v>11</v>
      </c>
      <c r="B14" s="28">
        <f>2628+3885+3072</f>
        <v>9585</v>
      </c>
      <c r="C14" s="28">
        <f>645+854+573</f>
        <v>2072</v>
      </c>
      <c r="D14" s="28">
        <f>6845+11280+7327</f>
        <v>25452</v>
      </c>
      <c r="E14" s="28">
        <v>0</v>
      </c>
      <c r="F14" s="28">
        <f>1199+1188+1175</f>
        <v>3562</v>
      </c>
      <c r="G14" s="28">
        <f>2997+2400+3014</f>
        <v>8411</v>
      </c>
      <c r="H14" s="17"/>
    </row>
    <row r="15" spans="1:8" ht="19.5" customHeight="1">
      <c r="A15" s="8" t="s">
        <v>12</v>
      </c>
      <c r="B15" s="28">
        <f>2856+3027+3641</f>
        <v>9524</v>
      </c>
      <c r="C15" s="28">
        <f>1791+2140+2456</f>
        <v>6387</v>
      </c>
      <c r="D15" s="28">
        <f>11484+16315+21506</f>
        <v>49305</v>
      </c>
      <c r="E15" s="28">
        <f>84+80+69</f>
        <v>233</v>
      </c>
      <c r="F15" s="28">
        <f>3409+3662+3830</f>
        <v>10901</v>
      </c>
      <c r="G15" s="28">
        <f>9701+12668+10592</f>
        <v>32961</v>
      </c>
      <c r="H15" s="17"/>
    </row>
    <row r="16" spans="1:8" ht="19.5" customHeight="1">
      <c r="A16" s="8" t="s">
        <v>13</v>
      </c>
      <c r="B16" s="28">
        <f>3890+4370+4146</f>
        <v>12406</v>
      </c>
      <c r="C16" s="28">
        <f>2242+1777+2094</f>
        <v>6113</v>
      </c>
      <c r="D16" s="28">
        <f>24115+21310+26781</f>
        <v>72206</v>
      </c>
      <c r="E16" s="28">
        <v>12</v>
      </c>
      <c r="F16" s="28">
        <f>1926+2040+1971</f>
        <v>5937</v>
      </c>
      <c r="G16" s="28">
        <f>4360+4775+4202</f>
        <v>13337</v>
      </c>
      <c r="H16" s="17"/>
    </row>
    <row r="17" spans="1:8" ht="19.5" customHeight="1">
      <c r="A17" s="8" t="s">
        <v>14</v>
      </c>
      <c r="B17" s="28">
        <f>1982+2322+2408</f>
        <v>6712</v>
      </c>
      <c r="C17" s="28">
        <f>980+1138+1137</f>
        <v>3255</v>
      </c>
      <c r="D17" s="28">
        <f>18782+21851+23389</f>
        <v>64022</v>
      </c>
      <c r="E17" s="28">
        <v>0</v>
      </c>
      <c r="F17" s="28">
        <f>777+966+860</f>
        <v>2603</v>
      </c>
      <c r="G17" s="28">
        <f>1949+2377+2340</f>
        <v>6666</v>
      </c>
      <c r="H17" s="17"/>
    </row>
    <row r="18" spans="1:8" ht="19.5" customHeight="1">
      <c r="A18" s="8" t="s">
        <v>15</v>
      </c>
      <c r="B18" s="28">
        <f>1478+1423+1398</f>
        <v>4299</v>
      </c>
      <c r="C18" s="28">
        <f>543+491+528</f>
        <v>1562</v>
      </c>
      <c r="D18" s="28">
        <f>5955+4814+8662</f>
        <v>19431</v>
      </c>
      <c r="E18" s="28">
        <v>0</v>
      </c>
      <c r="F18" s="28">
        <f>383+414+373</f>
        <v>1170</v>
      </c>
      <c r="G18" s="28">
        <f>1081+883+728</f>
        <v>2692</v>
      </c>
      <c r="H18" s="17"/>
    </row>
    <row r="19" spans="1:8" ht="19.5" customHeight="1">
      <c r="A19" s="9" t="s">
        <v>16</v>
      </c>
      <c r="B19" s="28">
        <f>1920+2091+1775</f>
        <v>5786</v>
      </c>
      <c r="C19" s="28">
        <f>619+705+628</f>
        <v>1952</v>
      </c>
      <c r="D19" s="28">
        <f>8426+9706+6924</f>
        <v>25056</v>
      </c>
      <c r="E19" s="28">
        <v>33</v>
      </c>
      <c r="F19" s="28">
        <f>673+725+538</f>
        <v>1936</v>
      </c>
      <c r="G19" s="28">
        <f>1550+1105+1192</f>
        <v>3847</v>
      </c>
      <c r="H19" s="17"/>
    </row>
    <row r="20" spans="1:8" ht="19.5" customHeight="1">
      <c r="A20" s="8" t="s">
        <v>17</v>
      </c>
      <c r="B20" s="28">
        <f>745+1061+690</f>
        <v>2496</v>
      </c>
      <c r="C20" s="28">
        <f>373+351+267</f>
        <v>991</v>
      </c>
      <c r="D20" s="28">
        <f>5738+7358+8608</f>
        <v>21704</v>
      </c>
      <c r="E20" s="28">
        <v>26</v>
      </c>
      <c r="F20" s="28">
        <f>647+525+662</f>
        <v>1834</v>
      </c>
      <c r="G20" s="28">
        <f>1543+1226+1419</f>
        <v>4188</v>
      </c>
      <c r="H20" s="17"/>
    </row>
    <row r="21" spans="1:8" ht="19.5" customHeight="1">
      <c r="A21" s="8" t="s">
        <v>18</v>
      </c>
      <c r="B21" s="33">
        <f>1193+1442+1575</f>
        <v>4210</v>
      </c>
      <c r="C21" s="28">
        <f>402+556+537</f>
        <v>1495</v>
      </c>
      <c r="D21" s="28">
        <f>7063+4806+4319</f>
        <v>16188</v>
      </c>
      <c r="E21" s="28">
        <v>5</v>
      </c>
      <c r="F21" s="28">
        <f>351+346+548</f>
        <v>1245</v>
      </c>
      <c r="G21" s="28">
        <f>718+714+879</f>
        <v>2311</v>
      </c>
      <c r="H21" s="17"/>
    </row>
    <row r="22" spans="1:8" ht="19.5" customHeight="1">
      <c r="A22" s="8" t="s">
        <v>19</v>
      </c>
      <c r="B22" s="28">
        <f>1381+1703+1733</f>
        <v>4817</v>
      </c>
      <c r="C22" s="28">
        <f>501+677+783</f>
        <v>1961</v>
      </c>
      <c r="D22" s="28">
        <f>12375+20585+12168</f>
        <v>45128</v>
      </c>
      <c r="E22" s="28">
        <f>305+70+85</f>
        <v>460</v>
      </c>
      <c r="F22" s="28">
        <f>1424+1399+1322</f>
        <v>4145</v>
      </c>
      <c r="G22" s="28">
        <f>5223+3997+3644</f>
        <v>12864</v>
      </c>
      <c r="H22" s="17"/>
    </row>
    <row r="23" spans="1:8" ht="19.5" customHeight="1">
      <c r="A23" s="8" t="s">
        <v>20</v>
      </c>
      <c r="B23" s="28">
        <f>3477+3491+3742</f>
        <v>10710</v>
      </c>
      <c r="C23" s="28">
        <f>1110+1140+1263</f>
        <v>3513</v>
      </c>
      <c r="D23" s="28">
        <f>23324+28544+24698</f>
        <v>76566</v>
      </c>
      <c r="E23" s="28">
        <f>27+26+24</f>
        <v>77</v>
      </c>
      <c r="F23" s="28">
        <f>1119+1261+1228</f>
        <v>3608</v>
      </c>
      <c r="G23" s="28">
        <f>2684+3047+3326</f>
        <v>9057</v>
      </c>
      <c r="H23" s="17"/>
    </row>
    <row r="24" spans="1:8" ht="19.5" customHeight="1">
      <c r="A24" s="8" t="s">
        <v>21</v>
      </c>
      <c r="B24" s="28">
        <f>3797+4141+3324</f>
        <v>11262</v>
      </c>
      <c r="C24" s="28">
        <f>887+931+825</f>
        <v>2643</v>
      </c>
      <c r="D24" s="28">
        <f>27847+32984+38091</f>
        <v>98922</v>
      </c>
      <c r="E24" s="28">
        <v>0</v>
      </c>
      <c r="F24" s="28">
        <f>1444+1704+1870</f>
        <v>5018</v>
      </c>
      <c r="G24" s="28">
        <f>3847+4167+5258</f>
        <v>13272</v>
      </c>
      <c r="H24" s="17"/>
    </row>
    <row r="25" spans="1:8" ht="19.5" customHeight="1">
      <c r="A25" s="8" t="s">
        <v>22</v>
      </c>
      <c r="B25" s="28">
        <f>1930+2067+2380</f>
        <v>6377</v>
      </c>
      <c r="C25" s="28">
        <f>797+818+921</f>
        <v>2536</v>
      </c>
      <c r="D25" s="28">
        <f>10582+9858+9728</f>
        <v>30168</v>
      </c>
      <c r="E25" s="28">
        <f>3+540+44</f>
        <v>587</v>
      </c>
      <c r="F25" s="28">
        <f>821+1413+915</f>
        <v>3149</v>
      </c>
      <c r="G25" s="28">
        <f>1938+1841+1946</f>
        <v>5725</v>
      </c>
      <c r="H25" s="17"/>
    </row>
    <row r="26" spans="1:8" ht="19.5" customHeight="1">
      <c r="A26" s="8" t="s">
        <v>23</v>
      </c>
      <c r="B26" s="28">
        <f>1161+951+1274</f>
        <v>3386</v>
      </c>
      <c r="C26" s="28">
        <f>1937+619+772</f>
        <v>3328</v>
      </c>
      <c r="D26" s="28">
        <f>19577+20851+22475</f>
        <v>62903</v>
      </c>
      <c r="E26" s="28">
        <f>0</f>
        <v>0</v>
      </c>
      <c r="F26" s="28">
        <f>604+670+617</f>
        <v>1891</v>
      </c>
      <c r="G26" s="28">
        <f>1356+1294+1203</f>
        <v>3853</v>
      </c>
      <c r="H26" s="17"/>
    </row>
    <row r="27" spans="1:8" ht="19.5" customHeight="1">
      <c r="A27" s="8" t="s">
        <v>24</v>
      </c>
      <c r="B27" s="28">
        <f>1260+1040+1255</f>
        <v>3555</v>
      </c>
      <c r="C27" s="28">
        <f>358+309+340</f>
        <v>1007</v>
      </c>
      <c r="D27" s="28">
        <f>7384+10362+3730</f>
        <v>21476</v>
      </c>
      <c r="E27" s="28">
        <v>21</v>
      </c>
      <c r="F27" s="28">
        <f>562+582+504</f>
        <v>1648</v>
      </c>
      <c r="G27" s="28">
        <f>889+1154+888</f>
        <v>2931</v>
      </c>
      <c r="H27" s="17"/>
    </row>
    <row r="28" spans="1:8" ht="19.5" customHeight="1">
      <c r="A28" s="8" t="s">
        <v>25</v>
      </c>
      <c r="B28" s="28">
        <f>686+741+1166</f>
        <v>2593</v>
      </c>
      <c r="C28" s="28">
        <f>162+190+172</f>
        <v>524</v>
      </c>
      <c r="D28" s="28">
        <f>1940+3384+2374</f>
        <v>7698</v>
      </c>
      <c r="E28" s="28">
        <v>0</v>
      </c>
      <c r="F28" s="28">
        <f>207+295+215</f>
        <v>717</v>
      </c>
      <c r="G28" s="28">
        <f>420+482+347</f>
        <v>1249</v>
      </c>
      <c r="H28" s="17"/>
    </row>
    <row r="29" spans="1:8" ht="19.5" customHeight="1">
      <c r="A29" s="8" t="s">
        <v>26</v>
      </c>
      <c r="B29" s="28">
        <f>96+196+188</f>
        <v>480</v>
      </c>
      <c r="C29" s="28">
        <f>228+226+252</f>
        <v>706</v>
      </c>
      <c r="D29" s="28">
        <f>542+477+501</f>
        <v>1520</v>
      </c>
      <c r="E29" s="28">
        <v>0</v>
      </c>
      <c r="F29" s="28">
        <f>47+60+74</f>
        <v>181</v>
      </c>
      <c r="G29" s="28">
        <f>84+109+104</f>
        <v>297</v>
      </c>
      <c r="H29" s="17"/>
    </row>
    <row r="30" spans="1:8" ht="19.5" customHeight="1">
      <c r="A30" s="7" t="s">
        <v>34</v>
      </c>
      <c r="B30" s="28">
        <f>7647+5709+6187</f>
        <v>19543</v>
      </c>
      <c r="C30" s="28">
        <f>4792+3512+2889</f>
        <v>11193</v>
      </c>
      <c r="D30" s="28">
        <f>110938+114547+131613</f>
        <v>357098</v>
      </c>
      <c r="E30" s="28">
        <f>57+26+68</f>
        <v>151</v>
      </c>
      <c r="F30" s="28">
        <f>6490+5311+5039</f>
        <v>16840</v>
      </c>
      <c r="G30" s="28">
        <f>17244+19621+15461</f>
        <v>52326</v>
      </c>
      <c r="H30" s="17"/>
    </row>
    <row r="31" spans="1:8" ht="19.5" customHeight="1" thickBot="1">
      <c r="A31" s="10" t="s">
        <v>35</v>
      </c>
      <c r="B31" s="27">
        <f>2236+2312+2204</f>
        <v>6752</v>
      </c>
      <c r="C31" s="27">
        <f>1823+1868+1761</f>
        <v>5452</v>
      </c>
      <c r="D31" s="27">
        <f>34442+39506+59568</f>
        <v>133516</v>
      </c>
      <c r="E31" s="27">
        <f>29+24+61</f>
        <v>114</v>
      </c>
      <c r="F31" s="27">
        <f>2853+2860+2726</f>
        <v>8439</v>
      </c>
      <c r="G31" s="27">
        <f>9433+9402+10975</f>
        <v>29810</v>
      </c>
      <c r="H31" s="19"/>
    </row>
    <row r="32" spans="1:8" ht="19.5" customHeight="1" thickTop="1">
      <c r="A32" s="11" t="s">
        <v>36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37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38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39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  <row r="38" spans="1:8" ht="19.5" customHeight="1">
      <c r="A38" s="11"/>
      <c r="B38" s="11"/>
      <c r="C38" s="11"/>
      <c r="D38" s="11"/>
      <c r="E38" s="11"/>
      <c r="F38" s="11"/>
      <c r="G38" s="11"/>
      <c r="H38" s="11"/>
    </row>
  </sheetData>
  <mergeCells count="3">
    <mergeCell ref="D5:D6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xSplit="1" topLeftCell="B1" activePane="topRight" state="frozen"/>
      <selection pane="topLeft" activeCell="A3" sqref="A3"/>
      <selection pane="topRight" activeCell="G31" sqref="G31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1" t="s">
        <v>40</v>
      </c>
      <c r="B1" s="21" t="s">
        <v>0</v>
      </c>
      <c r="C1" s="22"/>
      <c r="D1" s="11"/>
      <c r="E1" s="11"/>
      <c r="F1" s="11"/>
      <c r="G1" s="11"/>
      <c r="H1" s="11"/>
    </row>
    <row r="2" spans="1:8" ht="19.5" customHeight="1">
      <c r="A2" s="2"/>
      <c r="B2" s="2"/>
      <c r="C2" s="11"/>
      <c r="D2" s="11"/>
      <c r="E2" s="11"/>
      <c r="F2" s="11"/>
      <c r="G2" s="11"/>
      <c r="H2" s="11"/>
    </row>
    <row r="3" spans="1:8" ht="19.5" customHeight="1" thickBot="1">
      <c r="A3" s="2" t="s">
        <v>54</v>
      </c>
      <c r="B3" s="11"/>
      <c r="C3" s="11"/>
      <c r="D3" s="11"/>
      <c r="E3" s="11"/>
      <c r="F3" s="11"/>
      <c r="G3" s="11"/>
      <c r="H3" s="2" t="s">
        <v>29</v>
      </c>
    </row>
    <row r="4" spans="1:8" ht="19.5" customHeight="1" thickTop="1">
      <c r="A4" s="37" t="s">
        <v>42</v>
      </c>
      <c r="B4" s="45" t="s">
        <v>30</v>
      </c>
      <c r="C4" s="46"/>
      <c r="D4" s="47"/>
      <c r="E4" s="45" t="s">
        <v>31</v>
      </c>
      <c r="F4" s="46"/>
      <c r="G4" s="47"/>
      <c r="H4" s="13"/>
    </row>
    <row r="5" spans="1:8" ht="19.5" customHeight="1">
      <c r="A5" s="38"/>
      <c r="B5" s="43" t="s">
        <v>1</v>
      </c>
      <c r="C5" s="44"/>
      <c r="D5" s="35" t="s">
        <v>2</v>
      </c>
      <c r="E5" s="43" t="s">
        <v>1</v>
      </c>
      <c r="F5" s="44"/>
      <c r="G5" s="35" t="s">
        <v>2</v>
      </c>
      <c r="H5" s="25" t="s">
        <v>32</v>
      </c>
    </row>
    <row r="6" spans="1:8" ht="19.5" customHeight="1">
      <c r="A6" s="39"/>
      <c r="B6" s="26" t="s">
        <v>3</v>
      </c>
      <c r="C6" s="26" t="s">
        <v>4</v>
      </c>
      <c r="D6" s="36"/>
      <c r="E6" s="26" t="s">
        <v>3</v>
      </c>
      <c r="F6" s="26" t="s">
        <v>4</v>
      </c>
      <c r="G6" s="36"/>
      <c r="H6" s="15"/>
    </row>
    <row r="7" spans="1:8" ht="19.5" customHeight="1">
      <c r="A7" s="6" t="s">
        <v>5</v>
      </c>
      <c r="B7" s="28">
        <f aca="true" t="shared" si="0" ref="B7:G7">B8+B30+B31</f>
        <v>215919</v>
      </c>
      <c r="C7" s="28">
        <f t="shared" si="0"/>
        <v>92088</v>
      </c>
      <c r="D7" s="28">
        <f t="shared" si="0"/>
        <v>2071732</v>
      </c>
      <c r="E7" s="28">
        <f t="shared" si="0"/>
        <v>2097</v>
      </c>
      <c r="F7" s="28">
        <f t="shared" si="0"/>
        <v>128907</v>
      </c>
      <c r="G7" s="28">
        <f t="shared" si="0"/>
        <v>347075</v>
      </c>
      <c r="H7" s="17"/>
    </row>
    <row r="8" spans="1:8" ht="19.5" customHeight="1">
      <c r="A8" s="7" t="s">
        <v>33</v>
      </c>
      <c r="B8" s="28">
        <f aca="true" t="shared" si="1" ref="B8:G8">SUM(B9:B29)</f>
        <v>183952</v>
      </c>
      <c r="C8" s="28">
        <f t="shared" si="1"/>
        <v>75391</v>
      </c>
      <c r="D8" s="28">
        <f t="shared" si="1"/>
        <v>1322696</v>
      </c>
      <c r="E8" s="28">
        <f t="shared" si="1"/>
        <v>1395</v>
      </c>
      <c r="F8" s="28">
        <f t="shared" si="1"/>
        <v>98982</v>
      </c>
      <c r="G8" s="28">
        <f t="shared" si="1"/>
        <v>240617</v>
      </c>
      <c r="H8" s="17"/>
    </row>
    <row r="9" spans="1:8" ht="19.5" customHeight="1">
      <c r="A9" s="8" t="s">
        <v>6</v>
      </c>
      <c r="B9" s="28">
        <f>1423+1362+1529</f>
        <v>4314</v>
      </c>
      <c r="C9" s="28">
        <f>587+619+590</f>
        <v>1796</v>
      </c>
      <c r="D9" s="28">
        <f>5289+5445+2862</f>
        <v>13596</v>
      </c>
      <c r="E9" s="28">
        <v>2</v>
      </c>
      <c r="F9" s="28">
        <f>893+813+783</f>
        <v>2489</v>
      </c>
      <c r="G9" s="28">
        <f>3179+1426+1473</f>
        <v>6078</v>
      </c>
      <c r="H9" s="17"/>
    </row>
    <row r="10" spans="1:8" ht="19.5" customHeight="1">
      <c r="A10" s="8" t="s">
        <v>7</v>
      </c>
      <c r="B10" s="28">
        <f>14870+12659+14631</f>
        <v>42160</v>
      </c>
      <c r="C10" s="28">
        <f>5876+5384+5334</f>
        <v>16594</v>
      </c>
      <c r="D10" s="28">
        <f>128010+88643+107581</f>
        <v>324234</v>
      </c>
      <c r="E10" s="28">
        <f>244+72+101</f>
        <v>417</v>
      </c>
      <c r="F10" s="28">
        <f>8668+8611+10107</f>
        <v>27386</v>
      </c>
      <c r="G10" s="28">
        <f>18779+18927+21631</f>
        <v>59337</v>
      </c>
      <c r="H10" s="17"/>
    </row>
    <row r="11" spans="1:8" ht="19.5" customHeight="1">
      <c r="A11" s="8" t="s">
        <v>8</v>
      </c>
      <c r="B11" s="28">
        <f>8524+7018+6990</f>
        <v>22532</v>
      </c>
      <c r="C11" s="28">
        <f>5275+4179+3893</f>
        <v>13347</v>
      </c>
      <c r="D11" s="28">
        <f>84675+79421+51566</f>
        <v>215662</v>
      </c>
      <c r="E11" s="28">
        <f>58+147+62</f>
        <v>267</v>
      </c>
      <c r="F11" s="28">
        <f>5335+4883+5101</f>
        <v>15319</v>
      </c>
      <c r="G11" s="28">
        <f>13044+11840+8689</f>
        <v>33573</v>
      </c>
      <c r="H11" s="17"/>
    </row>
    <row r="12" spans="1:8" ht="19.5" customHeight="1">
      <c r="A12" s="8" t="s">
        <v>9</v>
      </c>
      <c r="B12" s="28">
        <f>1571+1827+1854</f>
        <v>5252</v>
      </c>
      <c r="C12" s="28">
        <f>522+621+582</f>
        <v>1725</v>
      </c>
      <c r="D12" s="28">
        <f>6302+8049+5670</f>
        <v>20021</v>
      </c>
      <c r="E12" s="28">
        <v>0</v>
      </c>
      <c r="F12" s="28">
        <f>531+457+465</f>
        <v>1453</v>
      </c>
      <c r="G12" s="28">
        <f>1225+1015+1280</f>
        <v>3520</v>
      </c>
      <c r="H12" s="17"/>
    </row>
    <row r="13" spans="1:8" ht="19.5" customHeight="1">
      <c r="A13" s="8" t="s">
        <v>10</v>
      </c>
      <c r="B13" s="28">
        <f>1252+2407+1716</f>
        <v>5375</v>
      </c>
      <c r="C13" s="28">
        <f>500+1462+623</f>
        <v>2585</v>
      </c>
      <c r="D13" s="28">
        <f>8224+7361+8908</f>
        <v>24493</v>
      </c>
      <c r="E13" s="28">
        <f>4+7+2</f>
        <v>13</v>
      </c>
      <c r="F13" s="28">
        <f>913+740+993</f>
        <v>2646</v>
      </c>
      <c r="G13" s="28">
        <f>2575+1616+3160</f>
        <v>7351</v>
      </c>
      <c r="H13" s="17"/>
    </row>
    <row r="14" spans="1:8" ht="19.5" customHeight="1">
      <c r="A14" s="8" t="s">
        <v>11</v>
      </c>
      <c r="B14" s="28">
        <f>3897+2937+3631</f>
        <v>10465</v>
      </c>
      <c r="C14" s="28">
        <f>811+632+845</f>
        <v>2288</v>
      </c>
      <c r="D14" s="28">
        <f>9978+9548+13784</f>
        <v>33310</v>
      </c>
      <c r="E14" s="28">
        <v>0</v>
      </c>
      <c r="F14" s="28">
        <f>1520+1386+1297</f>
        <v>4203</v>
      </c>
      <c r="G14" s="28">
        <f>4519+3120+3586</f>
        <v>11225</v>
      </c>
      <c r="H14" s="17"/>
    </row>
    <row r="15" spans="1:8" ht="19.5" customHeight="1">
      <c r="A15" s="8" t="s">
        <v>12</v>
      </c>
      <c r="B15" s="28">
        <f>4950+3434+3759</f>
        <v>12143</v>
      </c>
      <c r="C15" s="28">
        <f>2787+2113+2362</f>
        <v>7262</v>
      </c>
      <c r="D15" s="28">
        <f>32921+24539+30200</f>
        <v>87660</v>
      </c>
      <c r="E15" s="28">
        <f>87+126+238</f>
        <v>451</v>
      </c>
      <c r="F15" s="28">
        <f>3833+3461+3618</f>
        <v>10912</v>
      </c>
      <c r="G15" s="28">
        <f>11658+9343+11320</f>
        <v>32321</v>
      </c>
      <c r="H15" s="17"/>
    </row>
    <row r="16" spans="1:8" ht="19.5" customHeight="1">
      <c r="A16" s="8" t="s">
        <v>13</v>
      </c>
      <c r="B16" s="28">
        <f>2472+3767+4143</f>
        <v>10382</v>
      </c>
      <c r="C16" s="28">
        <f>913+1800+1719</f>
        <v>4432</v>
      </c>
      <c r="D16" s="28">
        <f>12920+25463+26474</f>
        <v>64857</v>
      </c>
      <c r="E16" s="28">
        <v>27</v>
      </c>
      <c r="F16" s="28">
        <f>2271+2081+2078</f>
        <v>6430</v>
      </c>
      <c r="G16" s="28">
        <f>4876+4627+4766</f>
        <v>14269</v>
      </c>
      <c r="H16" s="17"/>
    </row>
    <row r="17" spans="1:8" ht="19.5" customHeight="1">
      <c r="A17" s="8" t="s">
        <v>14</v>
      </c>
      <c r="B17" s="28">
        <f>3113+2459+3353</f>
        <v>8925</v>
      </c>
      <c r="C17" s="28">
        <f>1316+962+930</f>
        <v>3208</v>
      </c>
      <c r="D17" s="28">
        <f>25340+16413+15882</f>
        <v>57635</v>
      </c>
      <c r="E17" s="28">
        <v>0</v>
      </c>
      <c r="F17" s="28">
        <f>982+840+925</f>
        <v>2747</v>
      </c>
      <c r="G17" s="28">
        <f>2533+2056+2554</f>
        <v>7143</v>
      </c>
      <c r="H17" s="17"/>
    </row>
    <row r="18" spans="1:8" ht="19.5" customHeight="1">
      <c r="A18" s="8" t="s">
        <v>15</v>
      </c>
      <c r="B18" s="28">
        <f>1079+1277+1391</f>
        <v>3747</v>
      </c>
      <c r="C18" s="28">
        <f>532+539+549</f>
        <v>1620</v>
      </c>
      <c r="D18" s="28">
        <f>4258+5232+7532</f>
        <v>17022</v>
      </c>
      <c r="E18" s="28">
        <v>0</v>
      </c>
      <c r="F18" s="28">
        <f>404+390+390</f>
        <v>1184</v>
      </c>
      <c r="G18" s="34">
        <f>1459+1375+1441</f>
        <v>4275</v>
      </c>
      <c r="H18" s="17"/>
    </row>
    <row r="19" spans="1:8" ht="19.5" customHeight="1">
      <c r="A19" s="9" t="s">
        <v>55</v>
      </c>
      <c r="B19" s="28">
        <f>2014+2166+2116</f>
        <v>6296</v>
      </c>
      <c r="C19" s="28">
        <f>610+716+676</f>
        <v>2002</v>
      </c>
      <c r="D19" s="28">
        <f>8643+6933+6777</f>
        <v>22353</v>
      </c>
      <c r="E19" s="28">
        <f>6+29+17</f>
        <v>52</v>
      </c>
      <c r="F19" s="28">
        <f>516+471+501</f>
        <v>1488</v>
      </c>
      <c r="G19" s="28">
        <f>1244+972+1092</f>
        <v>3308</v>
      </c>
      <c r="H19" s="17"/>
    </row>
    <row r="20" spans="1:8" ht="19.5" customHeight="1">
      <c r="A20" s="8" t="s">
        <v>17</v>
      </c>
      <c r="B20" s="28">
        <f>315+748+707</f>
        <v>1770</v>
      </c>
      <c r="C20" s="28">
        <f>159+398+356</f>
        <v>913</v>
      </c>
      <c r="D20" s="28">
        <f>4897+6736+8030</f>
        <v>19663</v>
      </c>
      <c r="E20" s="28">
        <v>25</v>
      </c>
      <c r="F20" s="28">
        <f>455+557+648</f>
        <v>1660</v>
      </c>
      <c r="G20" s="28">
        <f>1182+1349+1540</f>
        <v>4071</v>
      </c>
      <c r="H20" s="17"/>
    </row>
    <row r="21" spans="1:8" ht="19.5" customHeight="1">
      <c r="A21" s="8" t="s">
        <v>18</v>
      </c>
      <c r="B21" s="33">
        <f>1587+1457+2016</f>
        <v>5060</v>
      </c>
      <c r="C21" s="28">
        <f>530+439+543</f>
        <v>1512</v>
      </c>
      <c r="D21" s="28">
        <f>5743+3311+3186</f>
        <v>12240</v>
      </c>
      <c r="E21" s="28">
        <v>15</v>
      </c>
      <c r="F21" s="28">
        <f>768+424+607</f>
        <v>1799</v>
      </c>
      <c r="G21" s="28">
        <f>1432+841+1152</f>
        <v>3425</v>
      </c>
      <c r="H21" s="17"/>
    </row>
    <row r="22" spans="1:8" ht="19.5" customHeight="1">
      <c r="A22" s="8" t="s">
        <v>19</v>
      </c>
      <c r="B22" s="28">
        <f>2134+2380+2461</f>
        <v>6975</v>
      </c>
      <c r="C22" s="28">
        <f>770+799+958</f>
        <v>2527</v>
      </c>
      <c r="D22" s="28">
        <f>26951+18185+28451</f>
        <v>73587</v>
      </c>
      <c r="E22" s="28">
        <v>20</v>
      </c>
      <c r="F22" s="28">
        <f>1318+1429+1549</f>
        <v>4296</v>
      </c>
      <c r="G22" s="28">
        <f>5080+5436+4487</f>
        <v>15003</v>
      </c>
      <c r="H22" s="17"/>
    </row>
    <row r="23" spans="1:8" ht="19.5" customHeight="1">
      <c r="A23" s="8" t="s">
        <v>20</v>
      </c>
      <c r="B23" s="28">
        <f>2648+3897+4745</f>
        <v>11290</v>
      </c>
      <c r="C23" s="28">
        <f>973+1220+1684</f>
        <v>3877</v>
      </c>
      <c r="D23" s="28">
        <f>31290+29706+40910</f>
        <v>101906</v>
      </c>
      <c r="E23" s="28">
        <f>7+24+22</f>
        <v>53</v>
      </c>
      <c r="F23" s="28">
        <f>1057+1208+1165</f>
        <v>3430</v>
      </c>
      <c r="G23" s="28">
        <f>3182+3532+3526</f>
        <v>10240</v>
      </c>
      <c r="H23" s="17"/>
    </row>
    <row r="24" spans="1:8" ht="19.5" customHeight="1">
      <c r="A24" s="8" t="s">
        <v>21</v>
      </c>
      <c r="B24" s="28">
        <f>2580+3770+3611</f>
        <v>9961</v>
      </c>
      <c r="C24" s="28">
        <f>762+923+943</f>
        <v>2628</v>
      </c>
      <c r="D24" s="28">
        <f>40025+43155+28619</f>
        <v>111799</v>
      </c>
      <c r="E24" s="28">
        <v>1</v>
      </c>
      <c r="F24" s="28">
        <f>1444+1449+1707</f>
        <v>4600</v>
      </c>
      <c r="G24" s="28">
        <f>3726+3981+4181</f>
        <v>11888</v>
      </c>
      <c r="H24" s="17"/>
    </row>
    <row r="25" spans="1:8" ht="19.5" customHeight="1">
      <c r="A25" s="8" t="s">
        <v>22</v>
      </c>
      <c r="B25" s="28">
        <f>2309+2246+2522</f>
        <v>7077</v>
      </c>
      <c r="C25" s="28">
        <f>870+725+903</f>
        <v>2498</v>
      </c>
      <c r="D25" s="28">
        <f>12916+8502+9994</f>
        <v>31412</v>
      </c>
      <c r="E25" s="28">
        <f>11+21+3</f>
        <v>35</v>
      </c>
      <c r="F25" s="28">
        <f>788+752+829</f>
        <v>2369</v>
      </c>
      <c r="G25" s="28">
        <f>1826+1517+1506</f>
        <v>4849</v>
      </c>
      <c r="H25" s="17"/>
    </row>
    <row r="26" spans="1:8" ht="19.5" customHeight="1">
      <c r="A26" s="8" t="s">
        <v>23</v>
      </c>
      <c r="B26" s="28">
        <f>1537+1448+1195</f>
        <v>4180</v>
      </c>
      <c r="C26" s="28">
        <f>993+803+802</f>
        <v>2598</v>
      </c>
      <c r="D26" s="28">
        <f>29950+23197+18149</f>
        <v>71296</v>
      </c>
      <c r="E26" s="28">
        <v>0</v>
      </c>
      <c r="F26" s="28">
        <f>626+776+652</f>
        <v>2054</v>
      </c>
      <c r="G26" s="28">
        <f>1630+1321+1429</f>
        <v>4380</v>
      </c>
      <c r="H26" s="17"/>
    </row>
    <row r="27" spans="1:8" ht="19.5" customHeight="1">
      <c r="A27" s="8" t="s">
        <v>24</v>
      </c>
      <c r="B27" s="28">
        <f>1031+1273+1139</f>
        <v>3443</v>
      </c>
      <c r="C27" s="28">
        <f>300+230+273</f>
        <v>803</v>
      </c>
      <c r="D27" s="28">
        <f>3446+3118+6774</f>
        <v>13338</v>
      </c>
      <c r="E27" s="28">
        <v>17</v>
      </c>
      <c r="F27" s="28">
        <f>497+503+594</f>
        <v>1594</v>
      </c>
      <c r="G27" s="28">
        <f>837+784+1024</f>
        <v>2645</v>
      </c>
      <c r="H27" s="17"/>
    </row>
    <row r="28" spans="1:8" ht="19.5" customHeight="1">
      <c r="A28" s="8" t="s">
        <v>25</v>
      </c>
      <c r="B28" s="28">
        <f>682+595+747</f>
        <v>2024</v>
      </c>
      <c r="C28" s="28">
        <f>158+154+167</f>
        <v>479</v>
      </c>
      <c r="D28" s="28">
        <f>1812+1617+1853</f>
        <v>5282</v>
      </c>
      <c r="E28" s="28">
        <v>0</v>
      </c>
      <c r="F28" s="28">
        <f>262+214+269</f>
        <v>745</v>
      </c>
      <c r="G28" s="28">
        <f>609+284+414</f>
        <v>1307</v>
      </c>
      <c r="H28" s="17"/>
    </row>
    <row r="29" spans="1:8" ht="19.5" customHeight="1">
      <c r="A29" s="8" t="s">
        <v>26</v>
      </c>
      <c r="B29" s="28">
        <f>256+152+173</f>
        <v>581</v>
      </c>
      <c r="C29" s="28">
        <f>241+201+255</f>
        <v>697</v>
      </c>
      <c r="D29" s="28">
        <f>531+388+411</f>
        <v>1330</v>
      </c>
      <c r="E29" s="28">
        <v>0</v>
      </c>
      <c r="F29" s="28">
        <f>62+51+65</f>
        <v>178</v>
      </c>
      <c r="G29" s="28">
        <f>153+102+154</f>
        <v>409</v>
      </c>
      <c r="H29" s="17"/>
    </row>
    <row r="30" spans="1:8" ht="19.5" customHeight="1">
      <c r="A30" s="7" t="s">
        <v>34</v>
      </c>
      <c r="B30" s="28">
        <f>7132+6975+9460</f>
        <v>23567</v>
      </c>
      <c r="C30" s="28">
        <f>3442+3715+4482</f>
        <v>11639</v>
      </c>
      <c r="D30" s="28">
        <f>211610+123909+306162</f>
        <v>641681</v>
      </c>
      <c r="E30" s="28">
        <f>149+364+11</f>
        <v>524</v>
      </c>
      <c r="F30" s="28">
        <f>7061+6679+7158</f>
        <v>20898</v>
      </c>
      <c r="G30" s="28">
        <f>30714+20269+24585</f>
        <v>75568</v>
      </c>
      <c r="H30" s="17"/>
    </row>
    <row r="31" spans="1:8" ht="19.5" customHeight="1" thickBot="1">
      <c r="A31" s="10" t="s">
        <v>35</v>
      </c>
      <c r="B31" s="27">
        <f>2505+2875+3020</f>
        <v>8400</v>
      </c>
      <c r="C31" s="27">
        <f>1583+1796+1679</f>
        <v>5058</v>
      </c>
      <c r="D31" s="27">
        <f>30409+31964+44982</f>
        <v>107355</v>
      </c>
      <c r="E31" s="27">
        <f>27+91+60</f>
        <v>178</v>
      </c>
      <c r="F31" s="27">
        <f>2686+3077+3264</f>
        <v>9027</v>
      </c>
      <c r="G31" s="27">
        <f>9170+10247+11473</f>
        <v>30890</v>
      </c>
      <c r="H31" s="19"/>
    </row>
    <row r="32" spans="1:8" ht="19.5" customHeight="1" thickTop="1">
      <c r="A32" s="11" t="s">
        <v>36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37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38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39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  <row r="38" spans="1:8" ht="19.5" customHeight="1">
      <c r="A38" s="11"/>
      <c r="B38" s="11"/>
      <c r="C38" s="11"/>
      <c r="D38" s="11"/>
      <c r="E38" s="11"/>
      <c r="F38" s="11"/>
      <c r="G38" s="11"/>
      <c r="H38" s="11"/>
    </row>
  </sheetData>
  <mergeCells count="7">
    <mergeCell ref="A4:A6"/>
    <mergeCell ref="D5:D6"/>
    <mergeCell ref="G5:G6"/>
    <mergeCell ref="B5:C5"/>
    <mergeCell ref="B4:D4"/>
    <mergeCell ref="E4:G4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4" sqref="B4"/>
    </sheetView>
  </sheetViews>
  <sheetFormatPr defaultColWidth="9.00390625" defaultRowHeight="16.5"/>
  <cols>
    <col min="1" max="4" width="20.625" style="0" customWidth="1"/>
  </cols>
  <sheetData>
    <row r="1" spans="1:4" ht="19.5" customHeight="1">
      <c r="A1" s="21" t="s">
        <v>43</v>
      </c>
      <c r="B1" s="21" t="s">
        <v>59</v>
      </c>
      <c r="C1" s="22"/>
      <c r="D1" s="11"/>
    </row>
    <row r="2" spans="1:4" ht="19.5" customHeight="1">
      <c r="A2" s="21"/>
      <c r="B2" s="21"/>
      <c r="C2" s="22"/>
      <c r="D2" s="11"/>
    </row>
    <row r="3" spans="1:4" ht="19.5" customHeight="1" thickBot="1">
      <c r="A3" s="2" t="s">
        <v>60</v>
      </c>
      <c r="B3" s="11"/>
      <c r="C3" s="11"/>
      <c r="D3" s="2" t="s">
        <v>58</v>
      </c>
    </row>
    <row r="4" spans="1:4" ht="19.5" customHeight="1" thickTop="1">
      <c r="A4" s="37" t="s">
        <v>44</v>
      </c>
      <c r="B4" s="3" t="s">
        <v>27</v>
      </c>
      <c r="C4" s="3" t="s">
        <v>28</v>
      </c>
      <c r="D4" s="23"/>
    </row>
    <row r="5" spans="1:4" ht="19.5" customHeight="1">
      <c r="A5" s="48"/>
      <c r="B5" s="4" t="s">
        <v>1</v>
      </c>
      <c r="C5" s="4" t="s">
        <v>1</v>
      </c>
      <c r="D5" s="24" t="s">
        <v>32</v>
      </c>
    </row>
    <row r="6" spans="1:4" ht="19.5" customHeight="1">
      <c r="A6" s="6" t="s">
        <v>5</v>
      </c>
      <c r="B6" s="16">
        <f>+'第一季'!B7+'第一季'!C7+'第二季'!B7+'第二季'!C7+'第三季'!B7+'第三季'!C7+'第四季'!B7+'第四季'!C7</f>
        <v>1218135</v>
      </c>
      <c r="C6" s="16">
        <f>+'第一季'!E7+'第一季'!F7+'第二季'!E7+'第二季'!F7+'第三季'!E7+'第三季'!F7+'第四季'!E7+'第四季'!F7</f>
        <v>510015</v>
      </c>
      <c r="D6" s="17"/>
    </row>
    <row r="7" spans="1:4" ht="19.5" customHeight="1">
      <c r="A7" s="7" t="s">
        <v>33</v>
      </c>
      <c r="B7" s="16">
        <f>+'第一季'!B8+'第一季'!C8+'第二季'!B8+'第二季'!C8+'第三季'!B8+'第三季'!C8+'第四季'!B8+'第四季'!C8</f>
        <v>1031577</v>
      </c>
      <c r="C7" s="16">
        <f>+'第一季'!E8+'第一季'!F8+'第二季'!E8+'第二季'!F8+'第三季'!E8+'第三季'!F8+'第四季'!E8+'第四季'!F8</f>
        <v>397045</v>
      </c>
      <c r="D7" s="17"/>
    </row>
    <row r="8" spans="1:4" ht="19.5" customHeight="1">
      <c r="A8" s="8" t="s">
        <v>6</v>
      </c>
      <c r="B8" s="16">
        <f>+'第一季'!B9+'第一季'!C9+'第二季'!B9+'第二季'!C9+'第三季'!B9+'第三季'!C9+'第四季'!B9+'第四季'!C9</f>
        <v>22848</v>
      </c>
      <c r="C8" s="16">
        <f>+'第一季'!E9+'第一季'!F9+'第二季'!E9+'第二季'!F9+'第三季'!E9+'第三季'!F9+'第四季'!E9+'第四季'!F9</f>
        <v>10038</v>
      </c>
      <c r="D8" s="17"/>
    </row>
    <row r="9" spans="1:4" ht="19.5" customHeight="1">
      <c r="A9" s="8" t="s">
        <v>7</v>
      </c>
      <c r="B9" s="16">
        <f>+'第一季'!B10+'第一季'!C10+'第二季'!B10+'第二季'!C10+'第三季'!B10+'第三季'!C10+'第四季'!B10+'第四季'!C10</f>
        <v>219886</v>
      </c>
      <c r="C9" s="16">
        <f>+'第一季'!E10+'第一季'!F10+'第二季'!E10+'第二季'!F10+'第三季'!E10+'第三季'!F10+'第四季'!E10+'第四季'!F10</f>
        <v>103411</v>
      </c>
      <c r="D9" s="17"/>
    </row>
    <row r="10" spans="1:4" ht="19.5" customHeight="1">
      <c r="A10" s="8" t="s">
        <v>8</v>
      </c>
      <c r="B10" s="16">
        <f>+'第一季'!B11+'第一季'!C11+'第二季'!B11+'第二季'!C11+'第三季'!B11+'第三季'!C11+'第四季'!B11+'第四季'!C11</f>
        <v>137710</v>
      </c>
      <c r="C10" s="16">
        <f>+'第一季'!E11+'第一季'!F11+'第二季'!E11+'第二季'!F11+'第三季'!E11+'第三季'!F11+'第四季'!E11+'第四季'!F11</f>
        <v>60812</v>
      </c>
      <c r="D10" s="17"/>
    </row>
    <row r="11" spans="1:4" ht="19.5" customHeight="1">
      <c r="A11" s="8" t="s">
        <v>9</v>
      </c>
      <c r="B11" s="16">
        <f>+'第一季'!B12+'第一季'!C12+'第二季'!B12+'第二季'!C12+'第三季'!B12+'第三季'!C12+'第四季'!B12+'第四季'!C12</f>
        <v>33483</v>
      </c>
      <c r="C11" s="16">
        <f>+'第一季'!E12+'第一季'!F12+'第二季'!E12+'第二季'!F12+'第三季'!E12+'第三季'!F12+'第四季'!E12+'第四季'!F12</f>
        <v>6349</v>
      </c>
      <c r="D11" s="17"/>
    </row>
    <row r="12" spans="1:4" ht="19.5" customHeight="1">
      <c r="A12" s="8" t="s">
        <v>10</v>
      </c>
      <c r="B12" s="16">
        <f>+'第一季'!B13+'第一季'!C13+'第二季'!B13+'第二季'!C13+'第三季'!B13+'第三季'!C13+'第四季'!B13+'第四季'!C13</f>
        <v>26879</v>
      </c>
      <c r="C12" s="16">
        <f>+'第一季'!E13+'第一季'!F13+'第二季'!E13+'第二季'!F13+'第三季'!E13+'第三季'!F13+'第四季'!E13+'第四季'!F13</f>
        <v>9504</v>
      </c>
      <c r="D12" s="17"/>
    </row>
    <row r="13" spans="1:4" ht="19.5" customHeight="1">
      <c r="A13" s="8" t="s">
        <v>11</v>
      </c>
      <c r="B13" s="16">
        <f>+'第一季'!B14+'第一季'!C14+'第二季'!B14+'第二季'!C14+'第三季'!B14+'第三季'!C14+'第四季'!B14+'第四季'!C14</f>
        <v>54287</v>
      </c>
      <c r="C13" s="16">
        <f>+'第一季'!E14+'第一季'!F14+'第二季'!E14+'第二季'!F14+'第三季'!E14+'第三季'!F14+'第四季'!E14+'第四季'!F14</f>
        <v>13711</v>
      </c>
      <c r="D13" s="17"/>
    </row>
    <row r="14" spans="1:4" ht="19.5" customHeight="1">
      <c r="A14" s="8" t="s">
        <v>12</v>
      </c>
      <c r="B14" s="16">
        <f>+'第一季'!B15+'第一季'!C15+'第二季'!B15+'第二季'!C15+'第三季'!B15+'第三季'!C15+'第四季'!B15+'第四季'!C15</f>
        <v>62836</v>
      </c>
      <c r="C14" s="16">
        <f>+'第一季'!E15+'第一季'!F15+'第二季'!E15+'第二季'!F15+'第三季'!E15+'第三季'!F15+'第四季'!E15+'第四季'!F15</f>
        <v>48728</v>
      </c>
      <c r="D14" s="17"/>
    </row>
    <row r="15" spans="1:4" ht="19.5" customHeight="1">
      <c r="A15" s="8" t="s">
        <v>13</v>
      </c>
      <c r="B15" s="16">
        <f>+'第一季'!B16+'第一季'!C16+'第二季'!B16+'第二季'!C16+'第三季'!B16+'第三季'!C16+'第四季'!B16+'第四季'!C16</f>
        <v>77017</v>
      </c>
      <c r="C15" s="16">
        <f>+'第一季'!E16+'第一季'!F16+'第二季'!E16+'第二季'!F16+'第三季'!E16+'第三季'!F16+'第四季'!E16+'第四季'!F16</f>
        <v>25739</v>
      </c>
      <c r="D15" s="17"/>
    </row>
    <row r="16" spans="1:4" ht="19.5" customHeight="1">
      <c r="A16" s="8" t="s">
        <v>14</v>
      </c>
      <c r="B16" s="16">
        <f>+'第一季'!B17+'第一季'!C17+'第二季'!B17+'第二季'!C17+'第三季'!B17+'第三季'!C17+'第四季'!B17+'第四季'!C17</f>
        <v>45414</v>
      </c>
      <c r="C16" s="16">
        <f>+'第一季'!E17+'第一季'!F17+'第二季'!E17+'第二季'!F17+'第三季'!E17+'第三季'!F17+'第四季'!E17+'第四季'!F17</f>
        <v>11104</v>
      </c>
      <c r="D16" s="17"/>
    </row>
    <row r="17" spans="1:4" ht="19.5" customHeight="1">
      <c r="A17" s="8" t="s">
        <v>15</v>
      </c>
      <c r="B17" s="16">
        <f>+'第一季'!B18+'第一季'!C18+'第二季'!B18+'第二季'!C18+'第三季'!B18+'第三季'!C18+'第四季'!B18+'第四季'!C18</f>
        <v>23733</v>
      </c>
      <c r="C17" s="16">
        <f>+'第一季'!E18+'第一季'!F18+'第二季'!E18+'第二季'!F18+'第三季'!E18+'第三季'!F18+'第四季'!E18+'第四季'!F18</f>
        <v>4638</v>
      </c>
      <c r="D17" s="17"/>
    </row>
    <row r="18" spans="1:4" ht="19.5" customHeight="1">
      <c r="A18" s="9" t="s">
        <v>16</v>
      </c>
      <c r="B18" s="16">
        <f>+'第一季'!B19+'第一季'!C19+'第二季'!B19+'第二季'!C19+'第三季'!B19+'第三季'!C19+'第四季'!B19+'第四季'!C19</f>
        <v>32804</v>
      </c>
      <c r="C18" s="16">
        <f>+'第一季'!E19+'第一季'!F19+'第二季'!E19+'第二季'!F19+'第三季'!E19+'第三季'!F19+'第四季'!E19+'第四季'!F19</f>
        <v>6498</v>
      </c>
      <c r="D18" s="17"/>
    </row>
    <row r="19" spans="1:4" ht="19.5" customHeight="1">
      <c r="A19" s="8" t="s">
        <v>17</v>
      </c>
      <c r="B19" s="16">
        <f>+'第一季'!B20+'第一季'!C20+'第二季'!B20+'第二季'!C20+'第三季'!B20+'第三季'!C20+'第四季'!B20+'第四季'!C20</f>
        <v>13364</v>
      </c>
      <c r="C19" s="16">
        <f>+'第一季'!E20+'第一季'!F20+'第二季'!E20+'第二季'!F20+'第三季'!E20+'第三季'!F20+'第四季'!E20+'第四季'!F20</f>
        <v>6677</v>
      </c>
      <c r="D19" s="17"/>
    </row>
    <row r="20" spans="1:4" ht="19.5" customHeight="1">
      <c r="A20" s="8" t="s">
        <v>18</v>
      </c>
      <c r="B20" s="16">
        <f>+'第一季'!B21+'第一季'!C21+'第二季'!B21+'第二季'!C21+'第三季'!B21+'第三季'!C21+'第四季'!B21+'第四季'!C21</f>
        <v>25501</v>
      </c>
      <c r="C20" s="16">
        <f>+'第一季'!E21+'第一季'!F21+'第二季'!E21+'第二季'!F21+'第三季'!E21+'第三季'!F21+'第四季'!E21+'第四季'!F21</f>
        <v>6301</v>
      </c>
      <c r="D20" s="17"/>
    </row>
    <row r="21" spans="1:4" ht="19.5" customHeight="1">
      <c r="A21" s="8" t="s">
        <v>19</v>
      </c>
      <c r="B21" s="16">
        <f>+'第一季'!B22+'第一季'!C22+'第二季'!B22+'第二季'!C22+'第三季'!B22+'第三季'!C22+'第四季'!B22+'第四季'!C22</f>
        <v>33443</v>
      </c>
      <c r="C21" s="16">
        <f>+'第一季'!E22+'第一季'!F22+'第二季'!E22+'第二季'!F22+'第三季'!E22+'第三季'!F22+'第四季'!E22+'第四季'!F22</f>
        <v>18399</v>
      </c>
      <c r="D21" s="17"/>
    </row>
    <row r="22" spans="1:4" ht="19.5" customHeight="1">
      <c r="A22" s="8" t="s">
        <v>20</v>
      </c>
      <c r="B22" s="16">
        <f>+'第一季'!B23+'第一季'!C23+'第二季'!B23+'第二季'!C23+'第三季'!B23+'第三季'!C23+'第四季'!B23+'第四季'!C23</f>
        <v>60314</v>
      </c>
      <c r="C22" s="16">
        <f>+'第一季'!E23+'第一季'!F23+'第二季'!E23+'第二季'!F23+'第三季'!E23+'第三季'!F23+'第四季'!E23+'第四季'!F23</f>
        <v>14493</v>
      </c>
      <c r="D22" s="17"/>
    </row>
    <row r="23" spans="1:4" ht="19.5" customHeight="1">
      <c r="A23" s="8" t="s">
        <v>21</v>
      </c>
      <c r="B23" s="16">
        <f>+'第一季'!B24+'第一季'!C24+'第二季'!B24+'第二季'!C24+'第三季'!B24+'第三季'!C24+'第四季'!B24+'第四季'!C24</f>
        <v>57549</v>
      </c>
      <c r="C23" s="16">
        <f>+'第一季'!E24+'第一季'!F24+'第二季'!E24+'第二季'!F24+'第三季'!E24+'第三季'!F24+'第四季'!E24+'第四季'!F24</f>
        <v>19625</v>
      </c>
      <c r="D23" s="17"/>
    </row>
    <row r="24" spans="1:4" ht="19.5" customHeight="1">
      <c r="A24" s="8" t="s">
        <v>22</v>
      </c>
      <c r="B24" s="16">
        <f>+'第一季'!B25+'第一季'!C25+'第二季'!B25+'第二季'!C25+'第三季'!B25+'第三季'!C25+'第四季'!B25+'第四季'!C25</f>
        <v>39276</v>
      </c>
      <c r="C24" s="16">
        <f>+'第一季'!E25+'第一季'!F26+'第二季'!E25+'第二季'!F25+'第三季'!E25+'第三季'!F25+'第四季'!E25+'第四季'!F25</f>
        <v>11162</v>
      </c>
      <c r="D24" s="17"/>
    </row>
    <row r="25" spans="1:4" ht="19.5" customHeight="1">
      <c r="A25" s="8" t="s">
        <v>23</v>
      </c>
      <c r="B25" s="16">
        <f>+'第一季'!B26+'第一季'!C26+'第二季'!B26+'第二季'!C26+'第三季'!B26+'第三季'!C26+'第四季'!B26+'第四季'!C26</f>
        <v>30605</v>
      </c>
      <c r="C25" s="16">
        <f>+'第一季'!E26+'第一季'!F26+'第二季'!E26+'第二季'!F26+'第三季'!E26+'第三季'!F26+'第四季'!E26+'第四季'!F26</f>
        <v>8101</v>
      </c>
      <c r="D25" s="17"/>
    </row>
    <row r="26" spans="1:4" ht="19.5" customHeight="1">
      <c r="A26" s="8" t="s">
        <v>24</v>
      </c>
      <c r="B26" s="16">
        <f>+'第一季'!B27+'第一季'!C27+'第二季'!B27+'第二季'!C27+'第三季'!B27+'第三季'!C27+'第四季'!B27+'第四季'!C27</f>
        <v>18222</v>
      </c>
      <c r="C26" s="16">
        <f>+'第一季'!E27+'第一季'!F27+'第二季'!E27+'第二季'!F27+'第三季'!E27+'第三季'!F27+'第四季'!E27+'第四季'!F27</f>
        <v>7034</v>
      </c>
      <c r="D26" s="17"/>
    </row>
    <row r="27" spans="1:4" ht="19.5" customHeight="1">
      <c r="A27" s="8" t="s">
        <v>25</v>
      </c>
      <c r="B27" s="16">
        <f>+'第一季'!B28+'第一季'!C28+'第二季'!B28+'第二季'!C28+'第三季'!B28+'第三季'!C28+'第四季'!B28+'第四季'!C28</f>
        <v>11676</v>
      </c>
      <c r="C27" s="16">
        <f>+'第一季'!E28+'第一季'!F28+'第二季'!E28+'第二季'!F28+'第三季'!E28+'第三季'!F28+'第四季'!E28+'第四季'!F28</f>
        <v>2993</v>
      </c>
      <c r="D27" s="17"/>
    </row>
    <row r="28" spans="1:4" ht="19.5" customHeight="1">
      <c r="A28" s="8" t="s">
        <v>26</v>
      </c>
      <c r="B28" s="16">
        <f>+'第一季'!B29+'第一季'!C29+'第二季'!B29+'第二季'!C29+'第三季'!B29+'第三季'!C29+'第四季'!B29+'第四季'!C29</f>
        <v>4730</v>
      </c>
      <c r="C28" s="16">
        <f>+'第一季'!E29+'第一季'!F29+'第二季'!E29+'第二季'!F29+'第三季'!E29+'第三季'!F29+'第四季'!E29+'第四季'!F29</f>
        <v>641</v>
      </c>
      <c r="D28" s="17"/>
    </row>
    <row r="29" spans="1:4" ht="19.5" customHeight="1">
      <c r="A29" s="7" t="s">
        <v>34</v>
      </c>
      <c r="B29" s="16">
        <f>+'第一季'!B30+'第一季'!C30+'第二季'!B30+'第二季'!C30+'第三季'!B30+'第三季'!C30+'第四季'!B30+'第四季'!C30</f>
        <v>134494</v>
      </c>
      <c r="C29" s="16">
        <f>+'第一季'!E30+'第一季'!F30+'第二季'!E30+'第二季'!F30+'第三季'!E30+'第三季'!F30+'第四季'!E30+'第四季'!F30</f>
        <v>77754</v>
      </c>
      <c r="D29" s="17"/>
    </row>
    <row r="30" spans="1:4" ht="19.5" customHeight="1" thickBot="1">
      <c r="A30" s="10" t="s">
        <v>35</v>
      </c>
      <c r="B30" s="18">
        <f>+'第一季'!B31+'第一季'!C31+'第二季'!B31+'第二季'!C31+'第三季'!B31+'第三季'!C31+'第四季'!B31+'第四季'!C31</f>
        <v>52064</v>
      </c>
      <c r="C30" s="18">
        <f>+'第一季'!E31+'第一季'!F31+'第二季'!E31+'第二季'!F31+'第三季'!E31+'第三季'!F31+'第四季'!E31+'第四季'!F31</f>
        <v>35216</v>
      </c>
      <c r="D30" s="19"/>
    </row>
    <row r="31" ht="17.25" thickTop="1"/>
  </sheetData>
  <mergeCells count="1"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6" sqref="B6"/>
    </sheetView>
  </sheetViews>
  <sheetFormatPr defaultColWidth="9.00390625" defaultRowHeight="16.5"/>
  <cols>
    <col min="1" max="4" width="20.625" style="0" customWidth="1"/>
  </cols>
  <sheetData>
    <row r="1" spans="1:4" ht="19.5" customHeight="1">
      <c r="A1" s="21" t="s">
        <v>50</v>
      </c>
      <c r="B1" s="21" t="s">
        <v>59</v>
      </c>
      <c r="C1" s="22"/>
      <c r="D1" s="11"/>
    </row>
    <row r="2" spans="1:4" ht="19.5" customHeight="1">
      <c r="A2" s="21"/>
      <c r="B2" s="21"/>
      <c r="C2" s="22"/>
      <c r="D2" s="11"/>
    </row>
    <row r="3" spans="1:4" ht="19.5" customHeight="1" thickBot="1">
      <c r="A3" s="2" t="s">
        <v>60</v>
      </c>
      <c r="B3" s="11"/>
      <c r="C3" s="11"/>
      <c r="D3" s="2" t="s">
        <v>57</v>
      </c>
    </row>
    <row r="4" spans="1:4" ht="19.5" customHeight="1" thickTop="1">
      <c r="A4" s="37" t="s">
        <v>46</v>
      </c>
      <c r="B4" s="3" t="s">
        <v>47</v>
      </c>
      <c r="C4" s="3" t="s">
        <v>48</v>
      </c>
      <c r="D4" s="23"/>
    </row>
    <row r="5" spans="1:4" ht="19.5" customHeight="1">
      <c r="A5" s="48"/>
      <c r="B5" s="4" t="s">
        <v>49</v>
      </c>
      <c r="C5" s="4" t="s">
        <v>2</v>
      </c>
      <c r="D5" s="24" t="s">
        <v>32</v>
      </c>
    </row>
    <row r="6" spans="1:4" ht="19.5" customHeight="1">
      <c r="A6" s="6" t="s">
        <v>5</v>
      </c>
      <c r="B6" s="16">
        <f>B7+B29+B30</f>
        <v>9267506</v>
      </c>
      <c r="C6" s="16">
        <f>C7+C29+C30</f>
        <v>1330576</v>
      </c>
      <c r="D6" s="17"/>
    </row>
    <row r="7" spans="1:4" ht="19.5" customHeight="1">
      <c r="A7" s="7" t="s">
        <v>33</v>
      </c>
      <c r="B7" s="16">
        <f>B8+B9+B10+B11+B12+B13+B14+B15+B16+B17+B18+B19+B20+B21+B22+B23+B24+B25+B26+B27+B28</f>
        <v>6338729</v>
      </c>
      <c r="C7" s="16">
        <f>C8+C9+C10+C11+C12+C13+C14+C15+C16+C17+C18+C19+C20+C21+C22+C23+C24+C25+C26+C27+C28</f>
        <v>972326</v>
      </c>
      <c r="D7" s="17"/>
    </row>
    <row r="8" spans="1:4" ht="19.5" customHeight="1">
      <c r="A8" s="8" t="s">
        <v>6</v>
      </c>
      <c r="B8" s="16">
        <f>'第一季'!D9+'第二季'!D9+'第三季'!D9+'第四季'!D9</f>
        <v>89355</v>
      </c>
      <c r="C8" s="16">
        <f>'第一季'!G9+'第二季'!G9+'第三季'!G9+'第四季'!G9</f>
        <v>21768</v>
      </c>
      <c r="D8" s="17"/>
    </row>
    <row r="9" spans="1:4" ht="19.5" customHeight="1">
      <c r="A9" s="8" t="s">
        <v>7</v>
      </c>
      <c r="B9" s="16">
        <f>'第一季'!D10+'第二季'!D10+'第三季'!D10+'第四季'!D10</f>
        <v>1627724</v>
      </c>
      <c r="C9" s="16">
        <f>'第一季'!G10+'第二季'!G10+'第三季'!G10+'第四季'!G10</f>
        <v>234848</v>
      </c>
      <c r="D9" s="17"/>
    </row>
    <row r="10" spans="1:4" ht="19.5" customHeight="1">
      <c r="A10" s="8" t="s">
        <v>8</v>
      </c>
      <c r="B10" s="16">
        <f>'第一季'!D11+'第二季'!D11+'第三季'!D11+'第四季'!D11</f>
        <v>993390</v>
      </c>
      <c r="C10" s="16">
        <f>'第一季'!G11+'第二季'!G11+'第三季'!G11+'第四季'!G11</f>
        <v>149833</v>
      </c>
      <c r="D10" s="17"/>
    </row>
    <row r="11" spans="1:4" ht="19.5" customHeight="1">
      <c r="A11" s="8" t="s">
        <v>9</v>
      </c>
      <c r="B11" s="16">
        <f>'第一季'!D12+'第二季'!D12+'第三季'!D12+'第四季'!D12</f>
        <v>148227</v>
      </c>
      <c r="C11" s="16">
        <f>'第一季'!G12+'第二季'!G12+'第三季'!G12+'第四季'!G12</f>
        <v>15346</v>
      </c>
      <c r="D11" s="17"/>
    </row>
    <row r="12" spans="1:4" ht="19.5" customHeight="1">
      <c r="A12" s="8" t="s">
        <v>10</v>
      </c>
      <c r="B12" s="16">
        <f>'第一季'!D13+'第二季'!D13+'第三季'!D13+'第四季'!D13</f>
        <v>123664</v>
      </c>
      <c r="C12" s="16">
        <f>'第一季'!G13+'第二季'!G13+'第三季'!G13+'第四季'!G13</f>
        <v>24480</v>
      </c>
      <c r="D12" s="17"/>
    </row>
    <row r="13" spans="1:4" ht="19.5" customHeight="1">
      <c r="A13" s="8" t="s">
        <v>11</v>
      </c>
      <c r="B13" s="16">
        <f>'第一季'!D14+'第二季'!D14+'第三季'!D14+'第四季'!D14</f>
        <v>194659</v>
      </c>
      <c r="C13" s="16">
        <f>'第一季'!G14+'第二季'!G14+'第三季'!G14+'第四季'!G14</f>
        <v>35000</v>
      </c>
      <c r="D13" s="17"/>
    </row>
    <row r="14" spans="1:4" ht="19.5" customHeight="1">
      <c r="A14" s="8" t="s">
        <v>12</v>
      </c>
      <c r="B14" s="16">
        <f>'第一季'!D15+'第二季'!D15+'第三季'!D15+'第四季'!D15</f>
        <v>295774</v>
      </c>
      <c r="C14" s="16">
        <f>'第一季'!G15+'第二季'!G15+'第三季'!G15+'第四季'!G15</f>
        <v>141795</v>
      </c>
      <c r="D14" s="17"/>
    </row>
    <row r="15" spans="1:4" ht="19.5" customHeight="1">
      <c r="A15" s="8" t="s">
        <v>13</v>
      </c>
      <c r="B15" s="16">
        <f>'第一季'!D16+'第二季'!D16+'第三季'!D16+'第四季'!D16</f>
        <v>385215</v>
      </c>
      <c r="C15" s="16">
        <f>'第一季'!G16+'第二季'!G16+'第三季'!G16+'第四季'!G16</f>
        <v>56281</v>
      </c>
      <c r="D15" s="17"/>
    </row>
    <row r="16" spans="1:4" ht="19.5" customHeight="1">
      <c r="A16" s="8" t="s">
        <v>14</v>
      </c>
      <c r="B16" s="16">
        <f>'第一季'!D17+'第二季'!D17+'第三季'!D17+'第四季'!D17</f>
        <v>292899</v>
      </c>
      <c r="C16" s="16">
        <f>'第一季'!G17+'第二季'!G17+'第三季'!G17+'第四季'!G17</f>
        <v>29874</v>
      </c>
      <c r="D16" s="17"/>
    </row>
    <row r="17" spans="1:4" ht="19.5" customHeight="1">
      <c r="A17" s="8" t="s">
        <v>15</v>
      </c>
      <c r="B17" s="16">
        <f>'第一季'!D18+'第二季'!D18+'第三季'!D18+'第四季'!D18</f>
        <v>116408</v>
      </c>
      <c r="C17" s="16">
        <f>'第一季'!G18+'第二季'!G18+'第三季'!G18+'第四季'!G19</f>
        <v>11528</v>
      </c>
      <c r="D17" s="17"/>
    </row>
    <row r="18" spans="1:4" ht="19.5" customHeight="1">
      <c r="A18" s="9" t="s">
        <v>16</v>
      </c>
      <c r="B18" s="16">
        <f>'第一季'!D19+'第二季'!D19+'第三季'!D19+'第四季'!D19</f>
        <v>113826</v>
      </c>
      <c r="C18" s="16">
        <f>'第一季'!G19+'第二季'!G19+'第三季'!G19+'第四季'!G20</f>
        <v>15570</v>
      </c>
      <c r="D18" s="17"/>
    </row>
    <row r="19" spans="1:4" ht="19.5" customHeight="1">
      <c r="A19" s="8" t="s">
        <v>17</v>
      </c>
      <c r="B19" s="16">
        <f>'第一季'!D20+'第二季'!D20+'第三季'!D20+'第四季'!D20</f>
        <v>117326</v>
      </c>
      <c r="C19" s="16">
        <f>'第一季'!G20+'第二季'!G20+'第三季'!G20+'第四季'!G21</f>
        <v>14842</v>
      </c>
      <c r="D19" s="17"/>
    </row>
    <row r="20" spans="1:4" ht="19.5" customHeight="1">
      <c r="A20" s="8" t="s">
        <v>18</v>
      </c>
      <c r="B20" s="16">
        <f>'第一季'!D21+'第二季'!D21+'第三季'!D21+'第四季'!D21</f>
        <v>80274</v>
      </c>
      <c r="C20" s="16">
        <f>'第一季'!G21+'第二季'!G21+'第三季'!G21+'第四季'!G21</f>
        <v>12538</v>
      </c>
      <c r="D20" s="17"/>
    </row>
    <row r="21" spans="1:4" ht="19.5" customHeight="1">
      <c r="A21" s="8" t="s">
        <v>19</v>
      </c>
      <c r="B21" s="16">
        <f>'第一季'!D22+'第二季'!D22+'第三季'!D22+'第四季'!D22</f>
        <v>323905</v>
      </c>
      <c r="C21" s="16">
        <f>'第一季'!G22+'第二季'!G22+'第三季'!G22+'第四季'!G22</f>
        <v>59834</v>
      </c>
      <c r="D21" s="17"/>
    </row>
    <row r="22" spans="1:4" ht="19.5" customHeight="1">
      <c r="A22" s="8" t="s">
        <v>20</v>
      </c>
      <c r="B22" s="16">
        <f>'第一季'!D23+'第二季'!D23+'第三季'!D23+'第四季'!D23</f>
        <v>406724</v>
      </c>
      <c r="C22" s="16">
        <f>'第一季'!G23+'第二季'!G23+'第三季'!G23+'第四季'!G23</f>
        <v>37592</v>
      </c>
      <c r="D22" s="17"/>
    </row>
    <row r="23" spans="1:4" ht="19.5" customHeight="1">
      <c r="A23" s="8" t="s">
        <v>21</v>
      </c>
      <c r="B23" s="16">
        <f>'第一季'!D24+'第二季'!D24+'第三季'!D24+'第四季'!D24</f>
        <v>449224</v>
      </c>
      <c r="C23" s="16">
        <f>'第一季'!G24+'第二季'!G24+'第三季'!G24+'第四季'!G24</f>
        <v>51017</v>
      </c>
      <c r="D23" s="17"/>
    </row>
    <row r="24" spans="1:4" ht="19.5" customHeight="1">
      <c r="A24" s="8" t="s">
        <v>22</v>
      </c>
      <c r="B24" s="16">
        <f>'第一季'!D25+'第二季'!D25+'第三季'!D25+'第四季'!D25</f>
        <v>143556</v>
      </c>
      <c r="C24" s="16">
        <f>'第一季'!G25+'第二季'!G25+'第三季'!G25+'第四季'!G25</f>
        <v>24922</v>
      </c>
      <c r="D24" s="17"/>
    </row>
    <row r="25" spans="1:4" ht="19.5" customHeight="1">
      <c r="A25" s="8" t="s">
        <v>23</v>
      </c>
      <c r="B25" s="16">
        <f>'第一季'!D26+'第二季'!D26+'第三季'!D26+'第四季'!D26</f>
        <v>327253</v>
      </c>
      <c r="C25" s="16">
        <f>'第一季'!G26+'第二季'!G26+'第三季'!G26+'第四季'!G26</f>
        <v>17066</v>
      </c>
      <c r="D25" s="17"/>
    </row>
    <row r="26" spans="1:4" ht="19.5" customHeight="1">
      <c r="A26" s="8" t="s">
        <v>24</v>
      </c>
      <c r="B26" s="16">
        <f>'第一季'!D27+'第二季'!D27+'第三季'!D27+'第四季'!D27</f>
        <v>69025</v>
      </c>
      <c r="C26" s="16">
        <f>'第一季'!G27+'第二季'!G27+'第三季'!G27+'第四季'!G27</f>
        <v>11792</v>
      </c>
      <c r="D26" s="17"/>
    </row>
    <row r="27" spans="1:4" ht="19.5" customHeight="1">
      <c r="A27" s="8" t="s">
        <v>25</v>
      </c>
      <c r="B27" s="16">
        <f>'第一季'!D28+'第二季'!D28+'第三季'!D28+'第四季'!D28</f>
        <v>34145</v>
      </c>
      <c r="C27" s="16">
        <f>'第一季'!G28+'第二季'!G28+'第三季'!G28+'第四季'!G28</f>
        <v>5015</v>
      </c>
      <c r="D27" s="17"/>
    </row>
    <row r="28" spans="1:4" ht="19.5" customHeight="1">
      <c r="A28" s="8" t="s">
        <v>26</v>
      </c>
      <c r="B28" s="16">
        <f>'第一季'!D29+'第二季'!D29+'第三季'!D29+'第四季'!D29</f>
        <v>6156</v>
      </c>
      <c r="C28" s="16">
        <f>'第一季'!G29+'第二季'!G29+'第三季'!G29+'第四季'!G29</f>
        <v>1385</v>
      </c>
      <c r="D28" s="17"/>
    </row>
    <row r="29" spans="1:4" ht="19.5" customHeight="1">
      <c r="A29" s="7" t="s">
        <v>34</v>
      </c>
      <c r="B29" s="16">
        <f>'第一季'!D30+'第二季'!D30+'第三季'!D30+'第四季'!D30</f>
        <v>2385216</v>
      </c>
      <c r="C29" s="16">
        <f>'第一季'!G30+'第二季'!G30+'第三季'!G30+'第四季'!G30</f>
        <v>239629</v>
      </c>
      <c r="D29" s="17"/>
    </row>
    <row r="30" spans="1:4" ht="19.5" customHeight="1" thickBot="1">
      <c r="A30" s="10" t="s">
        <v>35</v>
      </c>
      <c r="B30" s="18">
        <f>'第一季'!D31+'第二季'!D31+'第三季'!D31+'第四季'!D31</f>
        <v>543561</v>
      </c>
      <c r="C30" s="18">
        <f>'第一季'!G31+'第二季'!G31+'第三季'!G31+'第四季'!G31</f>
        <v>118621</v>
      </c>
      <c r="D30" s="19"/>
    </row>
    <row r="31" ht="17.25" thickTop="1"/>
  </sheetData>
  <mergeCells count="1"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</dc:creator>
  <cp:keywords/>
  <dc:description/>
  <cp:lastModifiedBy>087337</cp:lastModifiedBy>
  <cp:lastPrinted>2006-05-16T07:47:50Z</cp:lastPrinted>
  <dcterms:created xsi:type="dcterms:W3CDTF">1997-03-26T07:06:59Z</dcterms:created>
  <dcterms:modified xsi:type="dcterms:W3CDTF">2012-05-02T07:14:47Z</dcterms:modified>
  <cp:category/>
  <cp:version/>
  <cp:contentType/>
  <cp:contentStatus/>
</cp:coreProperties>
</file>