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5985" activeTab="5"/>
  </bookViews>
  <sheets>
    <sheet name="第一季" sheetId="1" r:id="rId1"/>
    <sheet name="第二季" sheetId="2" r:id="rId2"/>
    <sheet name="第三季" sheetId="3" r:id="rId3"/>
    <sheet name="第四季" sheetId="4" r:id="rId4"/>
    <sheet name="表六之一" sheetId="5" r:id="rId5"/>
    <sheet name="表六之二" sheetId="6" r:id="rId6"/>
  </sheets>
  <definedNames/>
  <calcPr fullCalcOnLoad="1"/>
</workbook>
</file>

<file path=xl/sharedStrings.xml><?xml version="1.0" encoding="utf-8"?>
<sst xmlns="http://schemas.openxmlformats.org/spreadsheetml/2006/main" count="248" uniqueCount="59">
  <si>
    <t>房地交易課稅情形季報表</t>
  </si>
  <si>
    <t>查定件數</t>
  </si>
  <si>
    <t>應納稅額</t>
  </si>
  <si>
    <t>免稅件數</t>
  </si>
  <si>
    <t>應稅件數</t>
  </si>
  <si>
    <t>台灣地區</t>
  </si>
  <si>
    <t>基隆市</t>
  </si>
  <si>
    <t>台北縣</t>
  </si>
  <si>
    <t>桃園縣</t>
  </si>
  <si>
    <t>苗栗縣</t>
  </si>
  <si>
    <t>新竹市</t>
  </si>
  <si>
    <t>新竹縣</t>
  </si>
  <si>
    <t>台中市</t>
  </si>
  <si>
    <t>台中縣</t>
  </si>
  <si>
    <t>彰化縣</t>
  </si>
  <si>
    <t>南投縣</t>
  </si>
  <si>
    <t>雲林縣</t>
  </si>
  <si>
    <t>嘉義市</t>
  </si>
  <si>
    <t>嘉義縣</t>
  </si>
  <si>
    <t>台南市</t>
  </si>
  <si>
    <t>台南縣</t>
  </si>
  <si>
    <t>高雄縣</t>
  </si>
  <si>
    <t>屏東縣</t>
  </si>
  <si>
    <t>宜蘭縣</t>
  </si>
  <si>
    <t>花蓮縣</t>
  </si>
  <si>
    <t>台東縣</t>
  </si>
  <si>
    <t>澎湖縣</t>
  </si>
  <si>
    <t>土地增值稅</t>
  </si>
  <si>
    <t>買賣契稅</t>
  </si>
  <si>
    <r>
      <t>資料截止日期</t>
    </r>
    <r>
      <rPr>
        <sz val="12"/>
        <rFont val="Times New Roman"/>
        <family val="1"/>
      </rPr>
      <t>: 93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</si>
  <si>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萬元</t>
    </r>
  </si>
  <si>
    <r>
      <t>土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增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值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稅</t>
    </r>
  </si>
  <si>
    <r>
      <t>買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賣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契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稅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</si>
  <si>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註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</si>
  <si>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省</t>
    </r>
  </si>
  <si>
    <r>
      <t>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</si>
  <si>
    <r>
      <t>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市</t>
    </r>
  </si>
  <si>
    <r>
      <t>*</t>
    </r>
    <r>
      <rPr>
        <sz val="12"/>
        <rFont val="標楷體"/>
        <family val="4"/>
      </rPr>
      <t>填報單位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台北市稅捐稽徵處、高雄市稅捐稽徵處、台灣省各縣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稅捐稽徵處</t>
    </r>
  </si>
  <si>
    <r>
      <t>*</t>
    </r>
    <r>
      <rPr>
        <sz val="12"/>
        <rFont val="標楷體"/>
        <family val="4"/>
      </rPr>
      <t>彙整單位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賦稅署、台北市稅捐稽徵處、高雄市稅捐稽徵處</t>
    </r>
  </si>
  <si>
    <r>
      <t>*</t>
    </r>
    <r>
      <rPr>
        <sz val="12"/>
        <rFont val="標楷體"/>
        <family val="4"/>
      </rPr>
      <t>主管單位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財政部</t>
    </r>
  </si>
  <si>
    <r>
      <t>*</t>
    </r>
    <r>
      <rPr>
        <sz val="12"/>
        <rFont val="標楷體"/>
        <family val="4"/>
      </rPr>
      <t>發佈單位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內政部營建署</t>
    </r>
  </si>
  <si>
    <t>表六</t>
  </si>
  <si>
    <t>表六</t>
  </si>
  <si>
    <r>
      <t>資料截止日期</t>
    </r>
    <r>
      <rPr>
        <sz val="12"/>
        <rFont val="Times New Roman"/>
        <family val="1"/>
      </rPr>
      <t>: 93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</si>
  <si>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資料截止日期</t>
    </r>
    <r>
      <rPr>
        <sz val="12"/>
        <rFont val="Times New Roman"/>
        <family val="1"/>
      </rPr>
      <t>:93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</si>
  <si>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資料截止日期</t>
    </r>
    <r>
      <rPr>
        <sz val="12"/>
        <rFont val="Times New Roman"/>
        <family val="1"/>
      </rPr>
      <t>: 93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</t>
    </r>
  </si>
  <si>
    <r>
      <t xml:space="preserve">        </t>
    </r>
    <r>
      <rPr>
        <sz val="12"/>
        <rFont val="標楷體"/>
        <family val="4"/>
      </rPr>
      <t>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目
地區別</t>
    </r>
  </si>
  <si>
    <r>
      <t>資料日期</t>
    </r>
    <r>
      <rPr>
        <sz val="12"/>
        <rFont val="Times New Roman"/>
        <family val="1"/>
      </rPr>
      <t>: 93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</si>
  <si>
    <t>表六之一</t>
  </si>
  <si>
    <t>九十三年房地交易課稅情形</t>
  </si>
  <si>
    <r>
      <t xml:space="preserve">                         </t>
    </r>
    <r>
      <rPr>
        <sz val="12"/>
        <rFont val="標楷體"/>
        <family val="4"/>
      </rPr>
      <t>項目
地區別</t>
    </r>
  </si>
  <si>
    <t>基隆市</t>
  </si>
  <si>
    <t>九十三年房地交易課稅情形</t>
  </si>
  <si>
    <r>
      <t>資料日期</t>
    </r>
    <r>
      <rPr>
        <sz val="12"/>
        <rFont val="Times New Roman"/>
        <family val="1"/>
      </rPr>
      <t>: 93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</si>
  <si>
    <r>
      <t xml:space="preserve">                         </t>
    </r>
    <r>
      <rPr>
        <sz val="12"/>
        <rFont val="標楷體"/>
        <family val="4"/>
      </rPr>
      <t>項目
地區別</t>
    </r>
  </si>
  <si>
    <t>土地增值稅</t>
  </si>
  <si>
    <t>買賣契稅</t>
  </si>
  <si>
    <t>應納稅額</t>
  </si>
  <si>
    <t>表六之二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</si>
</sst>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ck"/>
      <right style="thin"/>
      <top style="thick"/>
      <bottom>
        <color indexed="63"/>
      </bottom>
      <diagonal style="thin"/>
    </border>
    <border diagonalDown="1">
      <left style="thick"/>
      <right style="thin"/>
      <top>
        <color indexed="63"/>
      </top>
      <bottom>
        <color indexed="63"/>
      </bottom>
      <diagonal style="thin"/>
    </border>
    <border diagonalDown="1">
      <left style="thick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8" xfId="0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G9" sqref="G9"/>
    </sheetView>
  </sheetViews>
  <sheetFormatPr defaultColWidth="9.00390625" defaultRowHeight="16.5"/>
  <cols>
    <col min="1" max="8" width="10.625" style="0" customWidth="1"/>
    <col min="10" max="10" width="9.50390625" style="0" bestFit="1" customWidth="1"/>
  </cols>
  <sheetData>
    <row r="1" spans="1:8" ht="19.5" customHeight="1">
      <c r="A1" s="23" t="s">
        <v>42</v>
      </c>
      <c r="B1" s="23" t="s">
        <v>0</v>
      </c>
      <c r="C1" s="24"/>
      <c r="D1" s="24"/>
      <c r="E1" s="11"/>
      <c r="F1" s="11"/>
      <c r="G1" s="11"/>
      <c r="H1" s="11"/>
    </row>
    <row r="2" spans="1:8" ht="19.5" customHeight="1">
      <c r="A2" s="23"/>
      <c r="B2" s="23"/>
      <c r="C2" s="24"/>
      <c r="D2" s="24"/>
      <c r="E2" s="11"/>
      <c r="F2" s="11"/>
      <c r="G2" s="11"/>
      <c r="H2" s="11"/>
    </row>
    <row r="3" spans="1:8" ht="19.5" customHeight="1" thickBot="1">
      <c r="A3" s="2" t="s">
        <v>29</v>
      </c>
      <c r="B3" s="11"/>
      <c r="C3" s="11"/>
      <c r="D3" s="11"/>
      <c r="E3" s="11"/>
      <c r="F3" s="11"/>
      <c r="G3" s="11"/>
      <c r="H3" s="2" t="s">
        <v>30</v>
      </c>
    </row>
    <row r="4" spans="1:8" ht="19.5" customHeight="1" thickTop="1">
      <c r="A4" s="33" t="s">
        <v>46</v>
      </c>
      <c r="B4" s="3" t="s">
        <v>31</v>
      </c>
      <c r="C4" s="12"/>
      <c r="D4" s="12"/>
      <c r="E4" s="3" t="s">
        <v>32</v>
      </c>
      <c r="F4" s="12"/>
      <c r="G4" s="12"/>
      <c r="H4" s="13"/>
    </row>
    <row r="5" spans="1:8" ht="19.5" customHeight="1">
      <c r="A5" s="34"/>
      <c r="B5" s="4" t="s">
        <v>1</v>
      </c>
      <c r="C5" s="14"/>
      <c r="D5" s="31" t="s">
        <v>2</v>
      </c>
      <c r="E5" s="4" t="s">
        <v>1</v>
      </c>
      <c r="F5" s="14"/>
      <c r="G5" s="31" t="s">
        <v>2</v>
      </c>
      <c r="H5" s="5" t="s">
        <v>33</v>
      </c>
    </row>
    <row r="6" spans="1:8" ht="19.5" customHeight="1">
      <c r="A6" s="35"/>
      <c r="B6" s="30" t="s">
        <v>3</v>
      </c>
      <c r="C6" s="30" t="s">
        <v>4</v>
      </c>
      <c r="D6" s="32"/>
      <c r="E6" s="30" t="s">
        <v>3</v>
      </c>
      <c r="F6" s="30" t="s">
        <v>4</v>
      </c>
      <c r="G6" s="32"/>
      <c r="H6" s="15"/>
    </row>
    <row r="7" spans="1:11" ht="19.5" customHeight="1">
      <c r="A7" s="6" t="s">
        <v>5</v>
      </c>
      <c r="B7" s="16">
        <f aca="true" t="shared" si="0" ref="B7:G7">B8+B30+B31</f>
        <v>187319</v>
      </c>
      <c r="C7" s="16">
        <f t="shared" si="0"/>
        <v>134836</v>
      </c>
      <c r="D7" s="16">
        <f t="shared" si="0"/>
        <v>4427216</v>
      </c>
      <c r="E7" s="16">
        <f t="shared" si="0"/>
        <v>2378</v>
      </c>
      <c r="F7" s="16">
        <f t="shared" si="0"/>
        <v>133790</v>
      </c>
      <c r="G7" s="16">
        <f t="shared" si="0"/>
        <v>345054</v>
      </c>
      <c r="H7" s="17"/>
      <c r="I7" s="1"/>
      <c r="J7" s="1"/>
      <c r="K7" s="1"/>
    </row>
    <row r="8" spans="1:9" ht="19.5" customHeight="1">
      <c r="A8" s="7" t="s">
        <v>34</v>
      </c>
      <c r="B8" s="16">
        <f aca="true" t="shared" si="1" ref="B8:G8">SUM(B9:B29)</f>
        <v>160123</v>
      </c>
      <c r="C8" s="16">
        <f t="shared" si="1"/>
        <v>110581</v>
      </c>
      <c r="D8" s="16">
        <f t="shared" si="1"/>
        <v>3054714</v>
      </c>
      <c r="E8" s="16">
        <f t="shared" si="1"/>
        <v>1901</v>
      </c>
      <c r="F8" s="16">
        <f t="shared" si="1"/>
        <v>103677</v>
      </c>
      <c r="G8" s="16">
        <f t="shared" si="1"/>
        <v>251751</v>
      </c>
      <c r="H8" s="17"/>
      <c r="I8" s="1"/>
    </row>
    <row r="9" spans="1:8" ht="19.5" customHeight="1">
      <c r="A9" s="8" t="s">
        <v>51</v>
      </c>
      <c r="B9" s="16">
        <f>695+588+1107</f>
        <v>2390</v>
      </c>
      <c r="C9" s="18">
        <f>818+594+697</f>
        <v>2109</v>
      </c>
      <c r="D9" s="16">
        <f>46261+4883+5806</f>
        <v>56950</v>
      </c>
      <c r="E9" s="16">
        <f>8+1+6</f>
        <v>15</v>
      </c>
      <c r="F9" s="16">
        <f>683+656+938</f>
        <v>2277</v>
      </c>
      <c r="G9" s="16">
        <f>1122+1191+1765</f>
        <v>4078</v>
      </c>
      <c r="H9" s="17"/>
    </row>
    <row r="10" spans="1:10" ht="19.5" customHeight="1">
      <c r="A10" s="8" t="s">
        <v>7</v>
      </c>
      <c r="B10" s="16">
        <f>11565+6944+9312</f>
        <v>27821</v>
      </c>
      <c r="C10" s="16">
        <f>9744+6749+6659</f>
        <v>23152</v>
      </c>
      <c r="D10" s="16">
        <f>337132+183124+755106</f>
        <v>1275362</v>
      </c>
      <c r="E10" s="16">
        <f>22+32+14</f>
        <v>68</v>
      </c>
      <c r="F10" s="16">
        <f>10676+18389+9435</f>
        <v>38500</v>
      </c>
      <c r="G10" s="16">
        <f>22132+41683+22300</f>
        <v>86115</v>
      </c>
      <c r="H10" s="17"/>
      <c r="J10" s="1"/>
    </row>
    <row r="11" spans="1:10" ht="19.5" customHeight="1">
      <c r="A11" s="8" t="s">
        <v>8</v>
      </c>
      <c r="B11" s="16">
        <f>7332+4161+18505</f>
        <v>29998</v>
      </c>
      <c r="C11" s="16">
        <f>4715+4137+13930</f>
        <v>22782</v>
      </c>
      <c r="D11" s="16">
        <f>163334+243537+220882</f>
        <v>627753</v>
      </c>
      <c r="E11" s="16">
        <f>988+154</f>
        <v>1142</v>
      </c>
      <c r="F11" s="16">
        <f>2832+4304+5655</f>
        <v>12791</v>
      </c>
      <c r="G11" s="16">
        <f>11777+9512+14027</f>
        <v>35316</v>
      </c>
      <c r="H11" s="17"/>
      <c r="J11" s="1"/>
    </row>
    <row r="12" spans="1:8" ht="19.5" customHeight="1">
      <c r="A12" s="8" t="s">
        <v>9</v>
      </c>
      <c r="B12" s="16">
        <f>2306+1906+1436</f>
        <v>5648</v>
      </c>
      <c r="C12" s="16">
        <f>1367+1530+832</f>
        <v>3729</v>
      </c>
      <c r="D12" s="16">
        <f>18668+20196+11312</f>
        <v>50176</v>
      </c>
      <c r="E12" s="16">
        <v>0</v>
      </c>
      <c r="F12" s="16">
        <f>453+440+562</f>
        <v>1455</v>
      </c>
      <c r="G12" s="16">
        <f>1013+911+1256</f>
        <v>3180</v>
      </c>
      <c r="H12" s="17"/>
    </row>
    <row r="13" spans="1:8" ht="19.5" customHeight="1">
      <c r="A13" s="8" t="s">
        <v>10</v>
      </c>
      <c r="B13" s="16">
        <f>1608+30+1596</f>
        <v>3234</v>
      </c>
      <c r="C13" s="16">
        <f>1029+642+911</f>
        <v>2582</v>
      </c>
      <c r="D13" s="16">
        <f>22122+1525+10870</f>
        <v>34517</v>
      </c>
      <c r="E13" s="16">
        <f>138+30+9</f>
        <v>177</v>
      </c>
      <c r="F13" s="16">
        <f>893+642+636</f>
        <v>2171</v>
      </c>
      <c r="G13" s="16">
        <f>3205+1525+1590</f>
        <v>6320</v>
      </c>
      <c r="H13" s="17"/>
    </row>
    <row r="14" spans="1:8" ht="19.5" customHeight="1">
      <c r="A14" s="8" t="s">
        <v>11</v>
      </c>
      <c r="B14" s="16">
        <f>1974+2049+2408</f>
        <v>6431</v>
      </c>
      <c r="C14" s="16">
        <f>1158+824+1034</f>
        <v>3016</v>
      </c>
      <c r="D14" s="16">
        <f>25709+21258+25556</f>
        <v>72523</v>
      </c>
      <c r="E14" s="16">
        <v>0</v>
      </c>
      <c r="F14" s="16">
        <f>488+843+822</f>
        <v>2153</v>
      </c>
      <c r="G14" s="16">
        <f>1043+2501+1907</f>
        <v>5451</v>
      </c>
      <c r="H14" s="17"/>
    </row>
    <row r="15" spans="1:8" ht="19.5" customHeight="1">
      <c r="A15" s="8" t="s">
        <v>12</v>
      </c>
      <c r="B15" s="16">
        <f>2011+2407+2981</f>
        <v>7399</v>
      </c>
      <c r="C15" s="16">
        <f>2040+1589+2368</f>
        <v>5997</v>
      </c>
      <c r="D15" s="16">
        <f>28539+19563+36885</f>
        <v>84987</v>
      </c>
      <c r="E15" s="16">
        <f>11+25+14</f>
        <v>50</v>
      </c>
      <c r="F15" s="16">
        <f>3124+2928+3901</f>
        <v>9953</v>
      </c>
      <c r="G15" s="16">
        <f>8174+8473+10915</f>
        <v>27562</v>
      </c>
      <c r="H15" s="17"/>
    </row>
    <row r="16" spans="1:8" ht="19.5" customHeight="1">
      <c r="A16" s="8" t="s">
        <v>13</v>
      </c>
      <c r="B16" s="16">
        <f>5739+2838+4101</f>
        <v>12678</v>
      </c>
      <c r="C16" s="16">
        <f>5102+3527+2865</f>
        <v>11494</v>
      </c>
      <c r="D16" s="16">
        <f>84900+53464+44082</f>
        <v>182446</v>
      </c>
      <c r="E16" s="16">
        <f>13+147</f>
        <v>160</v>
      </c>
      <c r="F16" s="16">
        <f>2271+2003+2351</f>
        <v>6625</v>
      </c>
      <c r="G16" s="16">
        <f>4802+4381+6202</f>
        <v>15385</v>
      </c>
      <c r="H16" s="17"/>
    </row>
    <row r="17" spans="1:8" ht="19.5" customHeight="1">
      <c r="A17" s="8" t="s">
        <v>14</v>
      </c>
      <c r="B17" s="16">
        <f>1420+2273+2788</f>
        <v>6481</v>
      </c>
      <c r="C17" s="16">
        <f>1126+1141+1715</f>
        <v>3982</v>
      </c>
      <c r="D17" s="16">
        <f>22091+22402+38592</f>
        <v>83085</v>
      </c>
      <c r="E17" s="16">
        <v>1</v>
      </c>
      <c r="F17" s="16">
        <f>706+815+967</f>
        <v>2488</v>
      </c>
      <c r="G17" s="16">
        <f>1822+2197+2513</f>
        <v>6532</v>
      </c>
      <c r="H17" s="17"/>
    </row>
    <row r="18" spans="1:8" ht="19.5" customHeight="1">
      <c r="A18" s="8" t="s">
        <v>15</v>
      </c>
      <c r="B18" s="16">
        <f>1305+1057+1287</f>
        <v>3649</v>
      </c>
      <c r="C18" s="16">
        <f>1205+557+829</f>
        <v>2591</v>
      </c>
      <c r="D18" s="16">
        <f>12612+6860+9323</f>
        <v>28795</v>
      </c>
      <c r="E18" s="16">
        <v>0</v>
      </c>
      <c r="F18" s="16">
        <f>358+345+483</f>
        <v>1186</v>
      </c>
      <c r="G18" s="16">
        <f>884+717+970</f>
        <v>2571</v>
      </c>
      <c r="H18" s="17"/>
    </row>
    <row r="19" spans="1:8" ht="19.5" customHeight="1">
      <c r="A19" s="9" t="s">
        <v>16</v>
      </c>
      <c r="B19" s="16">
        <f>1915+1924+2252</f>
        <v>6091</v>
      </c>
      <c r="C19" s="16">
        <f>1113+817+893</f>
        <v>2823</v>
      </c>
      <c r="D19" s="16">
        <f>11380+7709+10241</f>
        <v>29330</v>
      </c>
      <c r="E19" s="16">
        <v>75</v>
      </c>
      <c r="F19" s="16">
        <f>381+515+558</f>
        <v>1454</v>
      </c>
      <c r="G19" s="16">
        <f>841+1131+1350</f>
        <v>3322</v>
      </c>
      <c r="H19" s="17"/>
    </row>
    <row r="20" spans="1:8" ht="19.5" customHeight="1">
      <c r="A20" s="8" t="s">
        <v>17</v>
      </c>
      <c r="B20" s="16">
        <f>683+512+670</f>
        <v>1865</v>
      </c>
      <c r="C20" s="16">
        <f>730+478+528</f>
        <v>1736</v>
      </c>
      <c r="D20" s="16">
        <f>10711+7374+15837</f>
        <v>33922</v>
      </c>
      <c r="E20" s="16">
        <v>5</v>
      </c>
      <c r="F20" s="16">
        <f>505+495+555</f>
        <v>1555</v>
      </c>
      <c r="G20" s="16">
        <f>1351+1327+1332</f>
        <v>4010</v>
      </c>
      <c r="H20" s="17"/>
    </row>
    <row r="21" spans="1:8" ht="19.5" customHeight="1">
      <c r="A21" s="8" t="s">
        <v>18</v>
      </c>
      <c r="B21" s="16">
        <f>1367+2424+1635</f>
        <v>5426</v>
      </c>
      <c r="C21" s="16">
        <f>1108+1664+599</f>
        <v>3371</v>
      </c>
      <c r="D21" s="16">
        <f>7515+11189+4471</f>
        <v>23175</v>
      </c>
      <c r="E21" s="16">
        <v>0</v>
      </c>
      <c r="F21" s="16">
        <f>416+911+530</f>
        <v>1857</v>
      </c>
      <c r="G21" s="16">
        <f>851+2016+1123</f>
        <v>3990</v>
      </c>
      <c r="H21" s="17"/>
    </row>
    <row r="22" spans="1:8" ht="19.5" customHeight="1">
      <c r="A22" s="8" t="s">
        <v>19</v>
      </c>
      <c r="B22" s="16">
        <f>2064+2408+2085</f>
        <v>6557</v>
      </c>
      <c r="C22" s="16">
        <f>1369+1405+1617</f>
        <v>4391</v>
      </c>
      <c r="D22" s="16">
        <f>40063+38468+28995</f>
        <v>107526</v>
      </c>
      <c r="E22" s="16">
        <f>90+16+14</f>
        <v>120</v>
      </c>
      <c r="F22" s="16">
        <f>1484+1412+1529</f>
        <v>4425</v>
      </c>
      <c r="G22" s="16">
        <f>4919+4615+4770</f>
        <v>14304</v>
      </c>
      <c r="H22" s="17"/>
    </row>
    <row r="23" spans="1:8" ht="19.5" customHeight="1">
      <c r="A23" s="8" t="s">
        <v>20</v>
      </c>
      <c r="B23" s="16">
        <f>4110+3115+3535</f>
        <v>10760</v>
      </c>
      <c r="C23" s="16">
        <f>1564+1305+1218</f>
        <v>4087</v>
      </c>
      <c r="D23" s="16">
        <f>38409+30787+27812</f>
        <v>97008</v>
      </c>
      <c r="E23" s="16">
        <f>10+13+22</f>
        <v>45</v>
      </c>
      <c r="F23" s="16">
        <f>901+1135+1387</f>
        <v>3423</v>
      </c>
      <c r="G23" s="16">
        <f>2402+2819+3805</f>
        <v>9026</v>
      </c>
      <c r="H23" s="17"/>
    </row>
    <row r="24" spans="1:8" ht="19.5" customHeight="1">
      <c r="A24" s="8" t="s">
        <v>21</v>
      </c>
      <c r="B24" s="16">
        <f>3797+2836+3674</f>
        <v>10307</v>
      </c>
      <c r="C24" s="16">
        <f>1892+1156+1311</f>
        <v>4359</v>
      </c>
      <c r="D24" s="16">
        <f>59675+60653+38421</f>
        <v>158749</v>
      </c>
      <c r="E24" s="16">
        <v>26</v>
      </c>
      <c r="F24" s="16">
        <f>1513+1368+1691</f>
        <v>4572</v>
      </c>
      <c r="G24" s="16">
        <f>3680+3389+4203</f>
        <v>11272</v>
      </c>
      <c r="H24" s="17"/>
    </row>
    <row r="25" spans="1:8" ht="19.5" customHeight="1">
      <c r="A25" s="8" t="s">
        <v>22</v>
      </c>
      <c r="B25" s="16">
        <f>1800+2448</f>
        <v>4248</v>
      </c>
      <c r="C25" s="16">
        <f>865+812+1261</f>
        <v>2938</v>
      </c>
      <c r="D25" s="11">
        <f>1850+12039+17393</f>
        <v>31282</v>
      </c>
      <c r="E25" s="16">
        <v>1</v>
      </c>
      <c r="F25" s="11">
        <f>865+854+923</f>
        <v>2642</v>
      </c>
      <c r="G25" s="19">
        <f>1849+1865+2077</f>
        <v>5791</v>
      </c>
      <c r="H25" s="17"/>
    </row>
    <row r="26" spans="1:8" ht="19.5" customHeight="1">
      <c r="A26" s="8" t="s">
        <v>23</v>
      </c>
      <c r="B26" s="16">
        <f>1254+759+1197</f>
        <v>3210</v>
      </c>
      <c r="C26" s="16">
        <f>1009+567+910</f>
        <v>2486</v>
      </c>
      <c r="D26" s="16">
        <f>15915+8192+12158</f>
        <v>36265</v>
      </c>
      <c r="E26" s="16">
        <v>0</v>
      </c>
      <c r="F26" s="16">
        <f>487+620+650</f>
        <v>1757</v>
      </c>
      <c r="G26" s="16">
        <f>1007+1225+1382</f>
        <v>3614</v>
      </c>
      <c r="H26" s="17"/>
    </row>
    <row r="27" spans="1:8" ht="19.5" customHeight="1">
      <c r="A27" s="8" t="s">
        <v>24</v>
      </c>
      <c r="B27" s="16">
        <f>1442+644+1569</f>
        <v>3655</v>
      </c>
      <c r="C27" s="16">
        <f>710+336+419</f>
        <v>1465</v>
      </c>
      <c r="D27" s="16">
        <f>13915+9791+4948</f>
        <v>28654</v>
      </c>
      <c r="E27" s="16">
        <f>6+10</f>
        <v>16</v>
      </c>
      <c r="F27" s="16">
        <f>433+520+549</f>
        <v>1502</v>
      </c>
      <c r="G27" s="16">
        <f>758+840+878</f>
        <v>2476</v>
      </c>
      <c r="H27" s="17"/>
    </row>
    <row r="28" spans="1:8" ht="19.5" customHeight="1">
      <c r="A28" s="8" t="s">
        <v>25</v>
      </c>
      <c r="B28" s="16">
        <f>415+738+831</f>
        <v>1984</v>
      </c>
      <c r="C28" s="16">
        <f>263+220+395</f>
        <v>878</v>
      </c>
      <c r="D28" s="16">
        <f>3973+4088+2502</f>
        <v>10563</v>
      </c>
      <c r="E28" s="16">
        <v>0</v>
      </c>
      <c r="F28" s="16">
        <f>221+244+295</f>
        <v>760</v>
      </c>
      <c r="G28" s="16">
        <f>331+383+469</f>
        <v>1183</v>
      </c>
      <c r="H28" s="17"/>
    </row>
    <row r="29" spans="1:8" ht="19.5" customHeight="1">
      <c r="A29" s="8" t="s">
        <v>26</v>
      </c>
      <c r="B29" s="16">
        <f>93+118+80</f>
        <v>291</v>
      </c>
      <c r="C29" s="16">
        <f>225+177+211</f>
        <v>613</v>
      </c>
      <c r="D29" s="16">
        <f>932+289+425</f>
        <v>1646</v>
      </c>
      <c r="E29" s="16">
        <v>0</v>
      </c>
      <c r="F29" s="16">
        <f>24+56+51</f>
        <v>131</v>
      </c>
      <c r="G29" s="16">
        <f>29+140+84</f>
        <v>253</v>
      </c>
      <c r="H29" s="17"/>
    </row>
    <row r="30" spans="1:8" ht="19.5" customHeight="1">
      <c r="A30" s="7" t="s">
        <v>35</v>
      </c>
      <c r="B30" s="16">
        <f>9456+4550+6472</f>
        <v>20478</v>
      </c>
      <c r="C30" s="16">
        <f>8825+3970+3945</f>
        <v>16740</v>
      </c>
      <c r="D30" s="16">
        <f>508235+272831+438067</f>
        <v>1219133</v>
      </c>
      <c r="E30" s="16">
        <f>167+50+116</f>
        <v>333</v>
      </c>
      <c r="F30" s="16">
        <f>9680+4860+6357</f>
        <v>20897</v>
      </c>
      <c r="G30" s="16">
        <f>28530+13289+19533</f>
        <v>61352</v>
      </c>
      <c r="H30" s="17"/>
    </row>
    <row r="31" spans="1:8" ht="19.5" customHeight="1" thickBot="1">
      <c r="A31" s="10" t="s">
        <v>36</v>
      </c>
      <c r="B31" s="20">
        <f>3081+1798+1839</f>
        <v>6718</v>
      </c>
      <c r="C31" s="20">
        <f>2805+2207+2503</f>
        <v>7515</v>
      </c>
      <c r="D31" s="20">
        <f>76123+44315+32931</f>
        <v>153369</v>
      </c>
      <c r="E31" s="20">
        <f>52+29+63</f>
        <v>144</v>
      </c>
      <c r="F31" s="20">
        <f>3789+2358+3069</f>
        <v>9216</v>
      </c>
      <c r="G31" s="20">
        <f>13151+7919+10881</f>
        <v>31951</v>
      </c>
      <c r="H31" s="21"/>
    </row>
    <row r="32" spans="1:8" ht="19.5" customHeight="1" thickTop="1">
      <c r="A32" s="11" t="s">
        <v>37</v>
      </c>
      <c r="B32" s="11"/>
      <c r="C32" s="11"/>
      <c r="D32" s="11"/>
      <c r="E32" s="11"/>
      <c r="F32" s="22"/>
      <c r="G32" s="11"/>
      <c r="H32" s="11"/>
    </row>
    <row r="33" spans="1:8" ht="19.5" customHeight="1">
      <c r="A33" s="11" t="s">
        <v>38</v>
      </c>
      <c r="B33" s="11"/>
      <c r="C33" s="11"/>
      <c r="D33" s="11"/>
      <c r="E33" s="11"/>
      <c r="F33" s="22"/>
      <c r="G33" s="11"/>
      <c r="H33" s="11"/>
    </row>
    <row r="34" spans="1:8" ht="19.5" customHeight="1">
      <c r="A34" s="11" t="s">
        <v>39</v>
      </c>
      <c r="B34" s="11"/>
      <c r="C34" s="11"/>
      <c r="D34" s="11"/>
      <c r="E34" s="11"/>
      <c r="F34" s="11"/>
      <c r="G34" s="11"/>
      <c r="H34" s="11"/>
    </row>
    <row r="35" spans="1:8" ht="19.5" customHeight="1">
      <c r="A35" s="11" t="s">
        <v>40</v>
      </c>
      <c r="B35" s="11"/>
      <c r="C35" s="11"/>
      <c r="D35" s="11"/>
      <c r="E35" s="11"/>
      <c r="F35" s="11"/>
      <c r="G35" s="11"/>
      <c r="H35" s="11"/>
    </row>
    <row r="36" spans="1:8" ht="19.5" customHeight="1">
      <c r="A36" s="11"/>
      <c r="B36" s="11"/>
      <c r="C36" s="11"/>
      <c r="D36" s="11"/>
      <c r="E36" s="11"/>
      <c r="F36" s="11"/>
      <c r="G36" s="11"/>
      <c r="H36" s="11"/>
    </row>
    <row r="37" spans="1:8" ht="19.5" customHeight="1">
      <c r="A37" s="11"/>
      <c r="B37" s="11"/>
      <c r="C37" s="11"/>
      <c r="D37" s="11"/>
      <c r="E37" s="11"/>
      <c r="F37" s="11"/>
      <c r="G37" s="11"/>
      <c r="H37" s="11"/>
    </row>
  </sheetData>
  <mergeCells count="3">
    <mergeCell ref="D5:D6"/>
    <mergeCell ref="G5:G6"/>
    <mergeCell ref="A4:A6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4">
      <selection activeCell="H13" sqref="H13"/>
    </sheetView>
  </sheetViews>
  <sheetFormatPr defaultColWidth="9.00390625" defaultRowHeight="16.5"/>
  <cols>
    <col min="1" max="8" width="10.625" style="0" customWidth="1"/>
  </cols>
  <sheetData>
    <row r="1" spans="1:8" ht="19.5" customHeight="1">
      <c r="A1" s="23" t="s">
        <v>42</v>
      </c>
      <c r="B1" s="23" t="s">
        <v>0</v>
      </c>
      <c r="C1" s="24"/>
      <c r="D1" s="24"/>
      <c r="E1" s="11"/>
      <c r="F1" s="11"/>
      <c r="G1" s="11"/>
      <c r="H1" s="11"/>
    </row>
    <row r="2" spans="1:8" ht="19.5" customHeight="1">
      <c r="A2" s="23"/>
      <c r="B2" s="23"/>
      <c r="C2" s="24"/>
      <c r="D2" s="24"/>
      <c r="E2" s="11"/>
      <c r="F2" s="11"/>
      <c r="G2" s="11"/>
      <c r="H2" s="11"/>
    </row>
    <row r="3" spans="1:8" ht="19.5" customHeight="1" thickBot="1">
      <c r="A3" s="2" t="s">
        <v>43</v>
      </c>
      <c r="B3" s="11"/>
      <c r="C3" s="11"/>
      <c r="D3" s="11"/>
      <c r="E3" s="11"/>
      <c r="F3" s="11"/>
      <c r="G3" s="11"/>
      <c r="H3" s="2" t="s">
        <v>30</v>
      </c>
    </row>
    <row r="4" spans="1:8" ht="19.5" customHeight="1" thickTop="1">
      <c r="A4" s="33" t="s">
        <v>46</v>
      </c>
      <c r="B4" s="3" t="s">
        <v>31</v>
      </c>
      <c r="C4" s="12"/>
      <c r="D4" s="12"/>
      <c r="E4" s="3" t="s">
        <v>32</v>
      </c>
      <c r="F4" s="12"/>
      <c r="G4" s="12"/>
      <c r="H4" s="36" t="s">
        <v>33</v>
      </c>
    </row>
    <row r="5" spans="1:8" ht="19.5" customHeight="1">
      <c r="A5" s="34"/>
      <c r="B5" s="4" t="s">
        <v>1</v>
      </c>
      <c r="C5" s="14"/>
      <c r="D5" s="31" t="s">
        <v>2</v>
      </c>
      <c r="E5" s="4" t="s">
        <v>1</v>
      </c>
      <c r="F5" s="14"/>
      <c r="G5" s="31" t="s">
        <v>2</v>
      </c>
      <c r="H5" s="37"/>
    </row>
    <row r="6" spans="1:8" ht="19.5" customHeight="1">
      <c r="A6" s="35"/>
      <c r="B6" s="30" t="s">
        <v>3</v>
      </c>
      <c r="C6" s="30" t="s">
        <v>4</v>
      </c>
      <c r="D6" s="32"/>
      <c r="E6" s="30" t="s">
        <v>3</v>
      </c>
      <c r="F6" s="30" t="s">
        <v>4</v>
      </c>
      <c r="G6" s="32"/>
      <c r="H6" s="38"/>
    </row>
    <row r="7" spans="1:8" ht="19.5" customHeight="1">
      <c r="A7" s="6" t="s">
        <v>5</v>
      </c>
      <c r="B7" s="16">
        <f aca="true" t="shared" si="0" ref="B7:G7">B8+B30+B31</f>
        <v>189293</v>
      </c>
      <c r="C7" s="16">
        <f t="shared" si="0"/>
        <v>105362</v>
      </c>
      <c r="D7" s="16">
        <f t="shared" si="0"/>
        <v>2191402</v>
      </c>
      <c r="E7" s="16">
        <f t="shared" si="0"/>
        <v>2599</v>
      </c>
      <c r="F7" s="16">
        <f t="shared" si="0"/>
        <v>124317</v>
      </c>
      <c r="G7" s="16">
        <f t="shared" si="0"/>
        <v>334234</v>
      </c>
      <c r="H7" s="17"/>
    </row>
    <row r="8" spans="1:8" ht="19.5" customHeight="1">
      <c r="A8" s="7" t="s">
        <v>34</v>
      </c>
      <c r="B8" s="16">
        <f aca="true" t="shared" si="1" ref="B8:G8">SUM(B9:B29)</f>
        <v>161693</v>
      </c>
      <c r="C8" s="16">
        <f t="shared" si="1"/>
        <v>86453</v>
      </c>
      <c r="D8" s="16">
        <f t="shared" si="1"/>
        <v>1597675</v>
      </c>
      <c r="E8" s="16">
        <f t="shared" si="1"/>
        <v>2017</v>
      </c>
      <c r="F8" s="16">
        <f t="shared" si="1"/>
        <v>96474</v>
      </c>
      <c r="G8" s="16">
        <f t="shared" si="1"/>
        <v>241560</v>
      </c>
      <c r="H8" s="17"/>
    </row>
    <row r="9" spans="1:8" ht="19.5" customHeight="1">
      <c r="A9" s="8" t="s">
        <v>6</v>
      </c>
      <c r="B9" s="16">
        <f>874+916+1159</f>
        <v>2949</v>
      </c>
      <c r="C9" s="16">
        <f>767+996+635</f>
        <v>2398</v>
      </c>
      <c r="D9" s="16">
        <f>3173+42850+3254</f>
        <v>49277</v>
      </c>
      <c r="E9" s="16">
        <f>2+29+1</f>
        <v>32</v>
      </c>
      <c r="F9" s="16">
        <f>849+914+836</f>
        <v>2599</v>
      </c>
      <c r="G9" s="16">
        <f>1596+1763+1627</f>
        <v>4986</v>
      </c>
      <c r="H9" s="17"/>
    </row>
    <row r="10" spans="1:8" ht="19.5" customHeight="1">
      <c r="A10" s="8" t="s">
        <v>7</v>
      </c>
      <c r="B10" s="16">
        <f>10571+10616+10301</f>
        <v>31488</v>
      </c>
      <c r="C10" s="16">
        <f>6364+6195+5892</f>
        <v>18451</v>
      </c>
      <c r="D10" s="16">
        <f>110829+197594+98032</f>
        <v>406455</v>
      </c>
      <c r="E10" s="16">
        <f>27+0+2</f>
        <v>29</v>
      </c>
      <c r="F10" s="16">
        <f>8868+8609+8365</f>
        <v>25842</v>
      </c>
      <c r="G10" s="16">
        <f>20572+20721+19962</f>
        <v>61255</v>
      </c>
      <c r="H10" s="17"/>
    </row>
    <row r="11" spans="1:8" ht="19.5" customHeight="1">
      <c r="A11" s="8" t="s">
        <v>8</v>
      </c>
      <c r="B11" s="16">
        <f>5686+6324+6642</f>
        <v>18652</v>
      </c>
      <c r="C11" s="16">
        <f>5150+4448+4161</f>
        <v>13759</v>
      </c>
      <c r="D11" s="16">
        <f>105708+86838+86539</f>
        <v>279085</v>
      </c>
      <c r="E11" s="16">
        <f>226+240+80</f>
        <v>546</v>
      </c>
      <c r="F11" s="16">
        <f>5745+4932+5148</f>
        <v>15825</v>
      </c>
      <c r="G11" s="16">
        <f>13747+12335+13851</f>
        <v>39933</v>
      </c>
      <c r="H11" s="17"/>
    </row>
    <row r="12" spans="1:8" ht="19.5" customHeight="1">
      <c r="A12" s="8" t="s">
        <v>9</v>
      </c>
      <c r="B12" s="16">
        <f>2155+2305+1489</f>
        <v>5949</v>
      </c>
      <c r="C12" s="16">
        <f>1075+879+932</f>
        <v>2886</v>
      </c>
      <c r="D12" s="16">
        <f>13594+12865+11123</f>
        <v>37582</v>
      </c>
      <c r="E12" s="16">
        <f>0+0+0</f>
        <v>0</v>
      </c>
      <c r="F12" s="16">
        <f>512+647+611</f>
        <v>1770</v>
      </c>
      <c r="G12" s="16">
        <f>1112+1215+1388</f>
        <v>3715</v>
      </c>
      <c r="H12" s="17"/>
    </row>
    <row r="13" spans="1:8" ht="19.5" customHeight="1">
      <c r="A13" s="8" t="s">
        <v>10</v>
      </c>
      <c r="B13" s="16">
        <f>781+1342+1177</f>
        <v>3300</v>
      </c>
      <c r="C13" s="16">
        <f>551+799+854</f>
        <v>2204</v>
      </c>
      <c r="D13" s="16">
        <f>13858+13439+26778</f>
        <v>54075</v>
      </c>
      <c r="E13" s="16">
        <f>236+11+38</f>
        <v>285</v>
      </c>
      <c r="F13" s="16">
        <f>750+693+611</f>
        <v>2054</v>
      </c>
      <c r="G13" s="16">
        <f>2357+2052+2156</f>
        <v>6565</v>
      </c>
      <c r="H13" s="17"/>
    </row>
    <row r="14" spans="1:8" ht="19.5" customHeight="1">
      <c r="A14" s="8" t="s">
        <v>11</v>
      </c>
      <c r="B14" s="16">
        <f>2558+3250+2759</f>
        <v>8567</v>
      </c>
      <c r="C14" s="16">
        <f>902+867+884</f>
        <v>2653</v>
      </c>
      <c r="D14" s="16">
        <f>14202+10606+11055</f>
        <v>35863</v>
      </c>
      <c r="E14" s="16">
        <f>0+0+38</f>
        <v>38</v>
      </c>
      <c r="F14" s="16">
        <f>880+579+611</f>
        <v>2070</v>
      </c>
      <c r="G14" s="16">
        <f>1930+1223+2156</f>
        <v>5309</v>
      </c>
      <c r="H14" s="17"/>
    </row>
    <row r="15" spans="1:8" ht="19.5" customHeight="1">
      <c r="A15" s="8" t="s">
        <v>12</v>
      </c>
      <c r="B15" s="16">
        <f>3692+2369+2558</f>
        <v>8619</v>
      </c>
      <c r="C15" s="16">
        <f>2315+1382+1285</f>
        <v>4982</v>
      </c>
      <c r="D15" s="16">
        <f>31065+18570+16196</f>
        <v>65831</v>
      </c>
      <c r="E15" s="16">
        <f>22+23+16</f>
        <v>61</v>
      </c>
      <c r="F15" s="16">
        <f>4101+3657+3056</f>
        <v>10814</v>
      </c>
      <c r="G15" s="16">
        <f>11853+10854+7939</f>
        <v>30646</v>
      </c>
      <c r="H15" s="17"/>
    </row>
    <row r="16" spans="1:8" ht="19.5" customHeight="1">
      <c r="A16" s="8" t="s">
        <v>13</v>
      </c>
      <c r="B16" s="16">
        <f>3575+4031+4584</f>
        <v>12190</v>
      </c>
      <c r="C16" s="16">
        <f>3122+2570+2442</f>
        <v>8134</v>
      </c>
      <c r="D16" s="16">
        <f>48480+38037+43500</f>
        <v>130017</v>
      </c>
      <c r="E16" s="16">
        <f>3+23+9</f>
        <v>35</v>
      </c>
      <c r="F16" s="16">
        <f>2309+2202+2041</f>
        <v>6552</v>
      </c>
      <c r="G16" s="16">
        <f>5406+5456+4496</f>
        <v>15358</v>
      </c>
      <c r="H16" s="17"/>
    </row>
    <row r="17" spans="1:8" ht="19.5" customHeight="1">
      <c r="A17" s="8" t="s">
        <v>14</v>
      </c>
      <c r="B17" s="16">
        <f>2773+2343+1611</f>
        <v>6727</v>
      </c>
      <c r="C17" s="16">
        <f>1391+1198+819</f>
        <v>3408</v>
      </c>
      <c r="D17" s="16">
        <f>25331+19862+12033</f>
        <v>57226</v>
      </c>
      <c r="E17" s="16">
        <f>0+1</f>
        <v>1</v>
      </c>
      <c r="F17" s="16">
        <f>865+873+270</f>
        <v>2008</v>
      </c>
      <c r="G17" s="16">
        <f>2050+2593+2344</f>
        <v>6987</v>
      </c>
      <c r="H17" s="17"/>
    </row>
    <row r="18" spans="1:8" ht="19.5" customHeight="1">
      <c r="A18" s="8" t="s">
        <v>15</v>
      </c>
      <c r="B18" s="16">
        <f>1467+1292+1315</f>
        <v>4074</v>
      </c>
      <c r="C18" s="16">
        <f>714+642+562</f>
        <v>1918</v>
      </c>
      <c r="D18" s="16">
        <f>9241+10510+8457</f>
        <v>28208</v>
      </c>
      <c r="E18" s="16">
        <f>0+0+3</f>
        <v>3</v>
      </c>
      <c r="F18" s="16">
        <f>433+354+379</f>
        <v>1166</v>
      </c>
      <c r="G18" s="16">
        <f>1100+904+1148</f>
        <v>3152</v>
      </c>
      <c r="H18" s="17"/>
    </row>
    <row r="19" spans="1:8" ht="19.5" customHeight="1">
      <c r="A19" s="9" t="s">
        <v>16</v>
      </c>
      <c r="B19" s="16">
        <f>2456+2251+2409</f>
        <v>7116</v>
      </c>
      <c r="C19" s="16">
        <f>818+826+1008</f>
        <v>2652</v>
      </c>
      <c r="D19" s="16">
        <f>6983+7467+12810</f>
        <v>27260</v>
      </c>
      <c r="E19" s="16">
        <f>0+5</f>
        <v>5</v>
      </c>
      <c r="F19" s="16">
        <f>587+527+648</f>
        <v>1762</v>
      </c>
      <c r="G19" s="16">
        <f>1416+1287+1347</f>
        <v>4050</v>
      </c>
      <c r="H19" s="17"/>
    </row>
    <row r="20" spans="1:8" ht="19.5" customHeight="1">
      <c r="A20" s="8" t="s">
        <v>17</v>
      </c>
      <c r="B20" s="16">
        <f>466+612+559</f>
        <v>1637</v>
      </c>
      <c r="C20" s="16">
        <f>462+431+321</f>
        <v>1214</v>
      </c>
      <c r="D20" s="16">
        <f>10742+8146+4479</f>
        <v>23367</v>
      </c>
      <c r="E20" s="16">
        <f>0+24+2</f>
        <v>26</v>
      </c>
      <c r="F20" s="16">
        <f>446+404+500</f>
        <v>1350</v>
      </c>
      <c r="G20" s="16">
        <f>1072+884+1724</f>
        <v>3680</v>
      </c>
      <c r="H20" s="17"/>
    </row>
    <row r="21" spans="1:8" ht="19.5" customHeight="1">
      <c r="A21" s="8" t="s">
        <v>18</v>
      </c>
      <c r="B21" s="27">
        <f>1585+1660+1566</f>
        <v>4811</v>
      </c>
      <c r="C21" s="16">
        <f>563+551+542</f>
        <v>1656</v>
      </c>
      <c r="D21" s="16">
        <f>4710+5071+3797</f>
        <v>13578</v>
      </c>
      <c r="E21" s="16">
        <f>10+3</f>
        <v>13</v>
      </c>
      <c r="F21" s="16">
        <f>469+438+374</f>
        <v>1281</v>
      </c>
      <c r="G21" s="16">
        <f>1058+832+710</f>
        <v>2600</v>
      </c>
      <c r="H21" s="17"/>
    </row>
    <row r="22" spans="1:8" ht="19.5" customHeight="1">
      <c r="A22" s="8" t="s">
        <v>19</v>
      </c>
      <c r="B22" s="16">
        <f>3098+1542+1861</f>
        <v>6501</v>
      </c>
      <c r="C22" s="16">
        <f>1298+1007+1362</f>
        <v>3667</v>
      </c>
      <c r="D22" s="16">
        <f>32217+14339+35126</f>
        <v>81682</v>
      </c>
      <c r="E22" s="16">
        <f>3+307+470</f>
        <v>780</v>
      </c>
      <c r="F22" s="16">
        <f>1674+1360+1727</f>
        <v>4761</v>
      </c>
      <c r="G22" s="16">
        <f>5206+4304+5251</f>
        <v>14761</v>
      </c>
      <c r="H22" s="17"/>
    </row>
    <row r="23" spans="1:8" ht="19.5" customHeight="1">
      <c r="A23" s="8" t="s">
        <v>20</v>
      </c>
      <c r="B23" s="16">
        <f>3655+3333+3599</f>
        <v>10587</v>
      </c>
      <c r="C23" s="16">
        <f>1317+1432+1378</f>
        <v>4127</v>
      </c>
      <c r="D23" s="16">
        <f>43015+27239+34566</f>
        <v>104820</v>
      </c>
      <c r="E23" s="16">
        <f>17+15+35</f>
        <v>67</v>
      </c>
      <c r="F23" s="16">
        <f>1319+1398+1282</f>
        <v>3999</v>
      </c>
      <c r="G23" s="16">
        <f>3435+3412+3260</f>
        <v>10107</v>
      </c>
      <c r="H23" s="17"/>
    </row>
    <row r="24" spans="1:8" ht="19.5" customHeight="1">
      <c r="A24" s="8" t="s">
        <v>21</v>
      </c>
      <c r="B24" s="16">
        <f>3959+3576+3775</f>
        <v>11310</v>
      </c>
      <c r="C24" s="16">
        <f>1320+1262+1389</f>
        <v>3971</v>
      </c>
      <c r="D24" s="16">
        <f>33416+25964+39767</f>
        <v>99147</v>
      </c>
      <c r="E24" s="16">
        <f>0+1</f>
        <v>1</v>
      </c>
      <c r="F24" s="16">
        <f>1673+1895+1866</f>
        <v>5434</v>
      </c>
      <c r="G24" s="16">
        <f>4167+4793+4499</f>
        <v>13459</v>
      </c>
      <c r="H24" s="17"/>
    </row>
    <row r="25" spans="1:8" ht="19.5" customHeight="1">
      <c r="A25" s="8" t="s">
        <v>22</v>
      </c>
      <c r="B25" s="16">
        <f>2452+2358+2245</f>
        <v>7055</v>
      </c>
      <c r="C25" s="16">
        <f>886+1059+1066</f>
        <v>3011</v>
      </c>
      <c r="D25" s="16">
        <f>9360+21878+14769</f>
        <v>46007</v>
      </c>
      <c r="E25" s="16">
        <f>0+87</f>
        <v>87</v>
      </c>
      <c r="F25" s="16">
        <f>859+935+1087</f>
        <v>2881</v>
      </c>
      <c r="G25" s="16">
        <f>2174+2225+2272</f>
        <v>6671</v>
      </c>
      <c r="H25" s="17"/>
    </row>
    <row r="26" spans="1:8" ht="19.5" customHeight="1">
      <c r="A26" s="8" t="s">
        <v>23</v>
      </c>
      <c r="B26" s="16">
        <f>1323+1107+1411</f>
        <v>3841</v>
      </c>
      <c r="C26" s="16">
        <f>1035+759+1003</f>
        <v>2797</v>
      </c>
      <c r="D26" s="16">
        <f>9079+14388+10120</f>
        <v>33587</v>
      </c>
      <c r="E26" s="16">
        <f>0</f>
        <v>0</v>
      </c>
      <c r="F26" s="16">
        <f>625+553+721</f>
        <v>1899</v>
      </c>
      <c r="G26" s="16">
        <f>1461+1383+1578</f>
        <v>4422</v>
      </c>
      <c r="H26" s="17"/>
    </row>
    <row r="27" spans="1:8" ht="19.5" customHeight="1">
      <c r="A27" s="8" t="s">
        <v>24</v>
      </c>
      <c r="B27" s="16">
        <f>911+1632+1339</f>
        <v>3882</v>
      </c>
      <c r="C27" s="16">
        <f>470+338+323</f>
        <v>1131</v>
      </c>
      <c r="D27" s="16">
        <f>4359+6272+5249</f>
        <v>15880</v>
      </c>
      <c r="E27" s="16">
        <f>5+1+2</f>
        <v>8</v>
      </c>
      <c r="F27" s="16">
        <f>496+536+467</f>
        <v>1499</v>
      </c>
      <c r="G27" s="16">
        <f>792+887+740</f>
        <v>2419</v>
      </c>
      <c r="H27" s="17"/>
    </row>
    <row r="28" spans="1:8" ht="19.5" customHeight="1">
      <c r="A28" s="8" t="s">
        <v>25</v>
      </c>
      <c r="B28" s="16">
        <f>655+684+722</f>
        <v>2061</v>
      </c>
      <c r="C28" s="16">
        <f>295+242+199</f>
        <v>736</v>
      </c>
      <c r="D28" s="16">
        <f>2214+3007+2230</f>
        <v>7451</v>
      </c>
      <c r="E28" s="16">
        <v>0</v>
      </c>
      <c r="F28" s="16">
        <f>241+250+250</f>
        <v>741</v>
      </c>
      <c r="G28" s="16">
        <f>403+432+363</f>
        <v>1198</v>
      </c>
      <c r="H28" s="17"/>
    </row>
    <row r="29" spans="1:8" ht="19.5" customHeight="1">
      <c r="A29" s="8" t="s">
        <v>26</v>
      </c>
      <c r="B29" s="16">
        <f>169+108+100</f>
        <v>377</v>
      </c>
      <c r="C29" s="16">
        <f>262+176+260</f>
        <v>698</v>
      </c>
      <c r="D29" s="16">
        <f>403+374+500</f>
        <v>1277</v>
      </c>
      <c r="E29" s="16">
        <v>0</v>
      </c>
      <c r="F29" s="16">
        <f>52+48+67</f>
        <v>167</v>
      </c>
      <c r="G29" s="16">
        <f>98+79+110</f>
        <v>287</v>
      </c>
      <c r="H29" s="17"/>
    </row>
    <row r="30" spans="1:8" ht="19.5" customHeight="1">
      <c r="A30" s="7" t="s">
        <v>35</v>
      </c>
      <c r="B30" s="16">
        <f>7012+7060+7401</f>
        <v>21473</v>
      </c>
      <c r="C30" s="16">
        <f>4476+4074+3534</f>
        <v>12084</v>
      </c>
      <c r="D30" s="16">
        <f>151032+222312+118877</f>
        <v>492221</v>
      </c>
      <c r="E30" s="16">
        <f>78+4+22</f>
        <v>104</v>
      </c>
      <c r="F30" s="16">
        <f>6884+5997+5945</f>
        <v>18826</v>
      </c>
      <c r="G30" s="16">
        <f>23435+22297+16364</f>
        <v>62096</v>
      </c>
      <c r="H30" s="17"/>
    </row>
    <row r="31" spans="1:8" ht="19.5" customHeight="1" thickBot="1">
      <c r="A31" s="10" t="s">
        <v>36</v>
      </c>
      <c r="B31" s="20">
        <f>2129+2024+1974</f>
        <v>6127</v>
      </c>
      <c r="C31" s="20">
        <f>2485+2323+2017</f>
        <v>6825</v>
      </c>
      <c r="D31" s="20">
        <f>25925+41121+34460</f>
        <v>101506</v>
      </c>
      <c r="E31" s="20">
        <f>71+45+362</f>
        <v>478</v>
      </c>
      <c r="F31" s="20">
        <f>3261+2778+2978</f>
        <v>9017</v>
      </c>
      <c r="G31" s="20">
        <f>11131+9614+9833</f>
        <v>30578</v>
      </c>
      <c r="H31" s="21"/>
    </row>
    <row r="32" spans="1:8" ht="19.5" customHeight="1" thickTop="1">
      <c r="A32" s="11" t="s">
        <v>37</v>
      </c>
      <c r="B32" s="11"/>
      <c r="C32" s="11"/>
      <c r="D32" s="11"/>
      <c r="E32" s="11"/>
      <c r="F32" s="11"/>
      <c r="G32" s="11"/>
      <c r="H32" s="11"/>
    </row>
    <row r="33" spans="1:8" ht="19.5" customHeight="1">
      <c r="A33" s="11" t="s">
        <v>38</v>
      </c>
      <c r="B33" s="11"/>
      <c r="C33" s="11"/>
      <c r="D33" s="11"/>
      <c r="E33" s="11"/>
      <c r="F33" s="11"/>
      <c r="G33" s="11"/>
      <c r="H33" s="11"/>
    </row>
    <row r="34" spans="1:8" ht="19.5" customHeight="1">
      <c r="A34" s="11" t="s">
        <v>39</v>
      </c>
      <c r="B34" s="11"/>
      <c r="C34" s="11"/>
      <c r="D34" s="11"/>
      <c r="E34" s="11"/>
      <c r="F34" s="11"/>
      <c r="G34" s="11"/>
      <c r="H34" s="11"/>
    </row>
    <row r="35" spans="1:8" ht="19.5" customHeight="1">
      <c r="A35" s="11" t="s">
        <v>40</v>
      </c>
      <c r="B35" s="11"/>
      <c r="C35" s="11"/>
      <c r="D35" s="11"/>
      <c r="E35" s="11"/>
      <c r="F35" s="11"/>
      <c r="G35" s="11"/>
      <c r="H35" s="11"/>
    </row>
    <row r="36" ht="19.5" customHeight="1"/>
    <row r="37" ht="19.5" customHeight="1"/>
  </sheetData>
  <mergeCells count="4">
    <mergeCell ref="D5:D6"/>
    <mergeCell ref="G5:G6"/>
    <mergeCell ref="H4:H6"/>
    <mergeCell ref="A4:A6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G9" sqref="G9"/>
    </sheetView>
  </sheetViews>
  <sheetFormatPr defaultColWidth="9.00390625" defaultRowHeight="16.5"/>
  <cols>
    <col min="1" max="8" width="10.625" style="0" customWidth="1"/>
  </cols>
  <sheetData>
    <row r="1" spans="1:8" ht="19.5" customHeight="1">
      <c r="A1" s="23" t="s">
        <v>41</v>
      </c>
      <c r="B1" s="23" t="s">
        <v>0</v>
      </c>
      <c r="C1" s="24"/>
      <c r="D1" s="11"/>
      <c r="E1" s="11"/>
      <c r="F1" s="11"/>
      <c r="G1" s="11"/>
      <c r="H1" s="11"/>
    </row>
    <row r="2" spans="1:8" ht="19.5" customHeight="1">
      <c r="A2" s="23"/>
      <c r="B2" s="23"/>
      <c r="C2" s="24"/>
      <c r="D2" s="11"/>
      <c r="E2" s="11"/>
      <c r="F2" s="11"/>
      <c r="G2" s="11"/>
      <c r="H2" s="11"/>
    </row>
    <row r="3" spans="1:8" ht="19.5" customHeight="1" thickBot="1">
      <c r="A3" s="2" t="s">
        <v>44</v>
      </c>
      <c r="B3" s="11"/>
      <c r="C3" s="11"/>
      <c r="D3" s="11"/>
      <c r="E3" s="11"/>
      <c r="F3" s="11"/>
      <c r="G3" s="11"/>
      <c r="H3" s="2" t="s">
        <v>30</v>
      </c>
    </row>
    <row r="4" spans="1:8" ht="19.5" customHeight="1" thickTop="1">
      <c r="A4" s="33" t="s">
        <v>46</v>
      </c>
      <c r="B4" s="3" t="s">
        <v>31</v>
      </c>
      <c r="C4" s="12"/>
      <c r="D4" s="12"/>
      <c r="E4" s="3" t="s">
        <v>32</v>
      </c>
      <c r="F4" s="12"/>
      <c r="G4" s="12"/>
      <c r="H4" s="13"/>
    </row>
    <row r="5" spans="1:8" ht="19.5" customHeight="1">
      <c r="A5" s="34"/>
      <c r="B5" s="4" t="s">
        <v>1</v>
      </c>
      <c r="C5" s="14"/>
      <c r="D5" s="31" t="s">
        <v>2</v>
      </c>
      <c r="E5" s="4" t="s">
        <v>1</v>
      </c>
      <c r="F5" s="14"/>
      <c r="G5" s="31" t="s">
        <v>2</v>
      </c>
      <c r="H5" s="5" t="s">
        <v>33</v>
      </c>
    </row>
    <row r="6" spans="1:8" ht="19.5" customHeight="1">
      <c r="A6" s="35"/>
      <c r="B6" s="30" t="s">
        <v>3</v>
      </c>
      <c r="C6" s="30" t="s">
        <v>4</v>
      </c>
      <c r="D6" s="32"/>
      <c r="E6" s="30" t="s">
        <v>3</v>
      </c>
      <c r="F6" s="30" t="s">
        <v>4</v>
      </c>
      <c r="G6" s="32"/>
      <c r="H6" s="15"/>
    </row>
    <row r="7" spans="1:8" ht="19.5" customHeight="1">
      <c r="A7" s="6" t="s">
        <v>5</v>
      </c>
      <c r="B7" s="16">
        <f aca="true" t="shared" si="0" ref="B7:G7">B8+B30+B31</f>
        <v>187233</v>
      </c>
      <c r="C7" s="16">
        <f t="shared" si="0"/>
        <v>96961</v>
      </c>
      <c r="D7" s="16">
        <f t="shared" si="0"/>
        <v>2130471</v>
      </c>
      <c r="E7" s="16">
        <f t="shared" si="0"/>
        <v>3732</v>
      </c>
      <c r="F7" s="16">
        <f t="shared" si="0"/>
        <v>118117</v>
      </c>
      <c r="G7" s="16">
        <f t="shared" si="0"/>
        <v>473820</v>
      </c>
      <c r="H7" s="17"/>
    </row>
    <row r="8" spans="1:8" ht="19.5" customHeight="1">
      <c r="A8" s="7" t="s">
        <v>34</v>
      </c>
      <c r="B8" s="16">
        <f aca="true" t="shared" si="1" ref="B8:G8">SUM(B9:B29)</f>
        <v>161529</v>
      </c>
      <c r="C8" s="16">
        <f t="shared" si="1"/>
        <v>80581</v>
      </c>
      <c r="D8" s="16">
        <f t="shared" si="1"/>
        <v>1543088</v>
      </c>
      <c r="E8" s="16">
        <f t="shared" si="1"/>
        <v>3314</v>
      </c>
      <c r="F8" s="16">
        <f t="shared" si="1"/>
        <v>92614</v>
      </c>
      <c r="G8" s="16">
        <f t="shared" si="1"/>
        <v>225001</v>
      </c>
      <c r="H8" s="17"/>
    </row>
    <row r="9" spans="1:8" ht="19.5" customHeight="1">
      <c r="A9" s="8" t="s">
        <v>6</v>
      </c>
      <c r="B9" s="16">
        <f>1121+980+979</f>
        <v>3080</v>
      </c>
      <c r="C9" s="16">
        <f>744+724+643</f>
        <v>2111</v>
      </c>
      <c r="D9" s="16">
        <f>6778+3294+4606</f>
        <v>14678</v>
      </c>
      <c r="E9" s="16">
        <v>2</v>
      </c>
      <c r="F9" s="16">
        <f>826+822+718</f>
        <v>2366</v>
      </c>
      <c r="G9" s="16">
        <f>1606+1500+1603</f>
        <v>4709</v>
      </c>
      <c r="H9" s="17"/>
    </row>
    <row r="10" spans="1:8" ht="19.5" customHeight="1">
      <c r="A10" s="8" t="s">
        <v>7</v>
      </c>
      <c r="B10" s="16">
        <f>10684+11499+9271</f>
        <v>31454</v>
      </c>
      <c r="C10" s="16">
        <f>5636+5920+5413</f>
        <v>16969</v>
      </c>
      <c r="D10" s="16">
        <f>104821+118779+90873</f>
        <v>314473</v>
      </c>
      <c r="E10" s="16">
        <f>16+35+10</f>
        <v>61</v>
      </c>
      <c r="F10" s="16">
        <f>9136+8099+6810</f>
        <v>24045</v>
      </c>
      <c r="G10" s="16">
        <f>21256+18238+15352</f>
        <v>54846</v>
      </c>
      <c r="H10" s="17"/>
    </row>
    <row r="11" spans="1:8" ht="19.5" customHeight="1">
      <c r="A11" s="8" t="s">
        <v>8</v>
      </c>
      <c r="B11" s="16">
        <f>7039+7125+7236</f>
        <v>21400</v>
      </c>
      <c r="C11" s="16">
        <f>4546+4211+3575</f>
        <v>12332</v>
      </c>
      <c r="D11" s="16">
        <f>73104+66644+62411</f>
        <v>202159</v>
      </c>
      <c r="E11" s="16">
        <f>374+53+1162</f>
        <v>1589</v>
      </c>
      <c r="F11" s="16">
        <f>5324+4636+4562</f>
        <v>14522</v>
      </c>
      <c r="G11" s="16">
        <f>12276+11734+11700</f>
        <v>35710</v>
      </c>
      <c r="H11" s="17"/>
    </row>
    <row r="12" spans="1:8" ht="19.5" customHeight="1">
      <c r="A12" s="8" t="s">
        <v>9</v>
      </c>
      <c r="B12" s="16">
        <f>2015+2252+1982</f>
        <v>6249</v>
      </c>
      <c r="C12" s="16">
        <f>846+1068+944</f>
        <v>2858</v>
      </c>
      <c r="D12" s="16">
        <f>7747+21147+10127</f>
        <v>39021</v>
      </c>
      <c r="E12" s="16">
        <v>0</v>
      </c>
      <c r="F12" s="16">
        <f>742+514+483</f>
        <v>1739</v>
      </c>
      <c r="G12" s="16">
        <f>1448+1143+871</f>
        <v>3462</v>
      </c>
      <c r="H12" s="17"/>
    </row>
    <row r="13" spans="1:8" ht="19.5" customHeight="1">
      <c r="A13" s="8" t="s">
        <v>10</v>
      </c>
      <c r="B13" s="16">
        <f>1034+1318+792</f>
        <v>3144</v>
      </c>
      <c r="C13" s="16">
        <f>380+729+462</f>
        <v>1571</v>
      </c>
      <c r="D13" s="16">
        <f>4693+54764+21235</f>
        <v>80692</v>
      </c>
      <c r="E13" s="16">
        <f>56+29+1</f>
        <v>86</v>
      </c>
      <c r="F13" s="16">
        <f>694+643+557</f>
        <v>1894</v>
      </c>
      <c r="G13" s="16">
        <f>1668+1633+1170</f>
        <v>4471</v>
      </c>
      <c r="H13" s="17"/>
    </row>
    <row r="14" spans="1:8" ht="19.5" customHeight="1">
      <c r="A14" s="8" t="s">
        <v>11</v>
      </c>
      <c r="B14" s="16">
        <f>2399+2802+3068</f>
        <v>8269</v>
      </c>
      <c r="C14" s="16">
        <f>728+852+885</f>
        <v>2465</v>
      </c>
      <c r="D14" s="16">
        <f>86527+12686+7764</f>
        <v>106977</v>
      </c>
      <c r="E14" s="16">
        <v>7</v>
      </c>
      <c r="F14" s="16">
        <f>1245+1089+762</f>
        <v>3096</v>
      </c>
      <c r="G14" s="16">
        <f>2947+3027+1809</f>
        <v>7783</v>
      </c>
      <c r="H14" s="17"/>
    </row>
    <row r="15" spans="1:8" ht="19.5" customHeight="1">
      <c r="A15" s="8" t="s">
        <v>12</v>
      </c>
      <c r="B15" s="16">
        <f>2299+2991+3815</f>
        <v>9105</v>
      </c>
      <c r="C15" s="16">
        <f>1111+1686+1816</f>
        <v>4613</v>
      </c>
      <c r="D15" s="16">
        <f>14671+40229+57904</f>
        <v>112804</v>
      </c>
      <c r="E15" s="16">
        <f>15+324+48</f>
        <v>387</v>
      </c>
      <c r="F15" s="16">
        <f>3265+3116+3762</f>
        <v>10143</v>
      </c>
      <c r="G15" s="16">
        <f>9011+8086+11029</f>
        <v>28126</v>
      </c>
      <c r="H15" s="17"/>
    </row>
    <row r="16" spans="1:8" ht="19.5" customHeight="1">
      <c r="A16" s="8" t="s">
        <v>13</v>
      </c>
      <c r="B16" s="16">
        <f>3394+3213+3619</f>
        <v>10226</v>
      </c>
      <c r="C16" s="16">
        <f>2600+2269+2071</f>
        <v>6940</v>
      </c>
      <c r="D16" s="16">
        <f>43552+37714+32676</f>
        <v>113942</v>
      </c>
      <c r="E16" s="16">
        <f>69+3+41</f>
        <v>113</v>
      </c>
      <c r="F16" s="16">
        <f>1997+2173+1961</f>
        <v>6131</v>
      </c>
      <c r="G16" s="16">
        <f>4642+5109+4333</f>
        <v>14084</v>
      </c>
      <c r="H16" s="17"/>
    </row>
    <row r="17" spans="1:8" ht="19.5" customHeight="1">
      <c r="A17" s="8" t="s">
        <v>14</v>
      </c>
      <c r="B17" s="16">
        <f>2551+2715+2252</f>
        <v>7518</v>
      </c>
      <c r="C17" s="16">
        <f>1252+1086+1261</f>
        <v>3599</v>
      </c>
      <c r="D17" s="16">
        <f>28388+17319+22023</f>
        <v>67730</v>
      </c>
      <c r="E17" s="16">
        <v>0</v>
      </c>
      <c r="F17" s="16">
        <f>966+883+762</f>
        <v>2611</v>
      </c>
      <c r="G17" s="16">
        <f>3091+2206+2136</f>
        <v>7433</v>
      </c>
      <c r="H17" s="17"/>
    </row>
    <row r="18" spans="1:8" ht="19.5" customHeight="1">
      <c r="A18" s="8" t="s">
        <v>15</v>
      </c>
      <c r="B18" s="16">
        <f>1323+1342+1171</f>
        <v>3836</v>
      </c>
      <c r="C18" s="16">
        <f>884+691+577</f>
        <v>2152</v>
      </c>
      <c r="D18" s="16">
        <f>8346+18321+10078</f>
        <v>36745</v>
      </c>
      <c r="E18" s="16">
        <v>0</v>
      </c>
      <c r="F18" s="16">
        <f>384+406+339</f>
        <v>1129</v>
      </c>
      <c r="G18" s="16">
        <f>1485+997+710</f>
        <v>3192</v>
      </c>
      <c r="H18" s="17"/>
    </row>
    <row r="19" spans="1:8" ht="19.5" customHeight="1">
      <c r="A19" s="9" t="s">
        <v>16</v>
      </c>
      <c r="B19" s="16">
        <f>1974+2073+1665</f>
        <v>5712</v>
      </c>
      <c r="C19" s="16">
        <f>786+814+839</f>
        <v>2439</v>
      </c>
      <c r="D19" s="16">
        <f>9449+8094+13516</f>
        <v>31059</v>
      </c>
      <c r="E19" s="16">
        <v>20</v>
      </c>
      <c r="F19" s="16">
        <f>496+591+440</f>
        <v>1527</v>
      </c>
      <c r="G19" s="16">
        <f>1049+1294+1012</f>
        <v>3355</v>
      </c>
      <c r="H19" s="17"/>
    </row>
    <row r="20" spans="1:8" ht="19.5" customHeight="1">
      <c r="A20" s="8" t="s">
        <v>17</v>
      </c>
      <c r="B20" s="16">
        <f>608+791+651</f>
        <v>2050</v>
      </c>
      <c r="C20" s="16">
        <f>377+346+355</f>
        <v>1078</v>
      </c>
      <c r="D20" s="16">
        <f>8693+6897+4367</f>
        <v>19957</v>
      </c>
      <c r="E20" s="16">
        <v>3</v>
      </c>
      <c r="F20" s="16">
        <f>464+474+477</f>
        <v>1415</v>
      </c>
      <c r="G20" s="16">
        <f>1125+1183+1074</f>
        <v>3382</v>
      </c>
      <c r="H20" s="17"/>
    </row>
    <row r="21" spans="1:8" ht="19.5" customHeight="1">
      <c r="A21" s="8" t="s">
        <v>18</v>
      </c>
      <c r="B21" s="29">
        <f>1953+1611+1487</f>
        <v>5051</v>
      </c>
      <c r="C21" s="16">
        <f>582+675+434</f>
        <v>1691</v>
      </c>
      <c r="D21" s="16">
        <f>4787+6436+4406</f>
        <v>15629</v>
      </c>
      <c r="E21" s="16">
        <f>2</f>
        <v>2</v>
      </c>
      <c r="F21" s="16">
        <f>561+578+494</f>
        <v>1633</v>
      </c>
      <c r="G21" s="16">
        <f>1030+1525+783</f>
        <v>3338</v>
      </c>
      <c r="H21" s="17"/>
    </row>
    <row r="22" spans="1:8" ht="19.5" customHeight="1">
      <c r="A22" s="8" t="s">
        <v>19</v>
      </c>
      <c r="B22" s="16">
        <f>2037+2510+2113</f>
        <v>6660</v>
      </c>
      <c r="C22" s="16">
        <f>1364+1400+1457</f>
        <v>4221</v>
      </c>
      <c r="D22" s="16">
        <f>21688+28462+37210</f>
        <v>87360</v>
      </c>
      <c r="E22" s="16">
        <f>142+322+4</f>
        <v>468</v>
      </c>
      <c r="F22" s="16">
        <f>1484+1424+1645</f>
        <v>4553</v>
      </c>
      <c r="G22" s="16">
        <f>4297+4446+4586</f>
        <v>13329</v>
      </c>
      <c r="H22" s="17"/>
    </row>
    <row r="23" spans="1:8" ht="19.5" customHeight="1">
      <c r="A23" s="8" t="s">
        <v>20</v>
      </c>
      <c r="B23" s="16">
        <f>3288+3357+2927</f>
        <v>9572</v>
      </c>
      <c r="C23" s="16">
        <f>1308+1425+1260</f>
        <v>3993</v>
      </c>
      <c r="D23" s="16">
        <f>25402+34172+23859</f>
        <v>83433</v>
      </c>
      <c r="E23" s="16">
        <f>21+14+28</f>
        <v>63</v>
      </c>
      <c r="F23" s="16">
        <f>1263+1303+1167</f>
        <v>3733</v>
      </c>
      <c r="G23" s="16">
        <f>3803+3786+2930</f>
        <v>10519</v>
      </c>
      <c r="H23" s="17"/>
    </row>
    <row r="24" spans="1:8" ht="19.5" customHeight="1">
      <c r="A24" s="8" t="s">
        <v>21</v>
      </c>
      <c r="B24" s="16">
        <f>3275+3920+3648</f>
        <v>10843</v>
      </c>
      <c r="C24" s="16">
        <f>1115+1228+1156</f>
        <v>3499</v>
      </c>
      <c r="D24" s="16">
        <f>31691+36825+31977</f>
        <v>100493</v>
      </c>
      <c r="E24" s="16">
        <f>334+3</f>
        <v>337</v>
      </c>
      <c r="F24" s="16">
        <f>1441+1486+1619</f>
        <v>4546</v>
      </c>
      <c r="G24" s="16">
        <f>4183+3767+3946</f>
        <v>11896</v>
      </c>
      <c r="H24" s="17"/>
    </row>
    <row r="25" spans="1:8" ht="19.5" customHeight="1">
      <c r="A25" s="8" t="s">
        <v>22</v>
      </c>
      <c r="B25" s="16">
        <f>2364+2143+2561</f>
        <v>7068</v>
      </c>
      <c r="C25" s="16">
        <f>1152+955+1113</f>
        <v>3220</v>
      </c>
      <c r="D25" s="16">
        <f>22801+13044+14633</f>
        <v>50478</v>
      </c>
      <c r="E25" s="16">
        <f>89+2</f>
        <v>91</v>
      </c>
      <c r="F25" s="16">
        <f>1039+957+892</f>
        <v>2888</v>
      </c>
      <c r="G25" s="16">
        <f>2012+2257+2151</f>
        <v>6420</v>
      </c>
      <c r="H25" s="17"/>
    </row>
    <row r="26" spans="1:8" ht="19.5" customHeight="1">
      <c r="A26" s="8" t="s">
        <v>23</v>
      </c>
      <c r="B26" s="16">
        <f>1236+1186+1446</f>
        <v>3868</v>
      </c>
      <c r="C26" s="16">
        <f>832+746+802</f>
        <v>2380</v>
      </c>
      <c r="D26" s="16">
        <f>12297+11703+17119</f>
        <v>41119</v>
      </c>
      <c r="E26" s="16">
        <v>11</v>
      </c>
      <c r="F26" s="16">
        <f>653+720+712</f>
        <v>2085</v>
      </c>
      <c r="G26" s="16">
        <f>1706+1550+1485</f>
        <v>4741</v>
      </c>
      <c r="H26" s="17"/>
    </row>
    <row r="27" spans="1:8" ht="19.5" customHeight="1">
      <c r="A27" s="8" t="s">
        <v>24</v>
      </c>
      <c r="B27" s="16">
        <f>1186+1406+1054</f>
        <v>3646</v>
      </c>
      <c r="C27" s="16">
        <f>369+366+371</f>
        <v>1106</v>
      </c>
      <c r="D27" s="16">
        <f>4447+4523+7142</f>
        <v>16112</v>
      </c>
      <c r="E27" s="16">
        <f>12+23+9</f>
        <v>44</v>
      </c>
      <c r="F27" s="16">
        <f>520+668+526</f>
        <v>1714</v>
      </c>
      <c r="G27" s="16">
        <f>895+1063+885</f>
        <v>2843</v>
      </c>
      <c r="H27" s="17"/>
    </row>
    <row r="28" spans="1:8" ht="19.5" customHeight="1">
      <c r="A28" s="8" t="s">
        <v>25</v>
      </c>
      <c r="B28" s="16">
        <f>611+960+799</f>
        <v>2370</v>
      </c>
      <c r="C28" s="16">
        <f>228+235+207</f>
        <v>670</v>
      </c>
      <c r="D28" s="16">
        <f>1769+1794+3531</f>
        <v>7094</v>
      </c>
      <c r="E28" s="16">
        <f>1+21+8</f>
        <v>30</v>
      </c>
      <c r="F28" s="16">
        <f>235+270+198</f>
        <v>703</v>
      </c>
      <c r="G28" s="16">
        <f>368+433+293</f>
        <v>1094</v>
      </c>
      <c r="H28" s="17"/>
    </row>
    <row r="29" spans="1:8" ht="19.5" customHeight="1">
      <c r="A29" s="8" t="s">
        <v>26</v>
      </c>
      <c r="B29" s="16">
        <f>101+177+130</f>
        <v>408</v>
      </c>
      <c r="C29" s="16">
        <f>184+200+290</f>
        <v>674</v>
      </c>
      <c r="D29" s="16">
        <f>288+322+523</f>
        <v>1133</v>
      </c>
      <c r="E29" s="16">
        <f>0</f>
        <v>0</v>
      </c>
      <c r="F29" s="16">
        <f>46+64+31</f>
        <v>141</v>
      </c>
      <c r="G29" s="16">
        <f>77+143+48</f>
        <v>268</v>
      </c>
      <c r="H29" s="17"/>
    </row>
    <row r="30" spans="1:8" ht="19.5" customHeight="1">
      <c r="A30" s="7" t="s">
        <v>35</v>
      </c>
      <c r="B30" s="16">
        <f>6658+6349+5835</f>
        <v>18842</v>
      </c>
      <c r="C30" s="16">
        <f>3811+3387+3273</f>
        <v>10471</v>
      </c>
      <c r="D30" s="16">
        <f>122056+211060+143309</f>
        <v>476425</v>
      </c>
      <c r="E30" s="16">
        <f>65+150+88</f>
        <v>303</v>
      </c>
      <c r="F30" s="16">
        <f>5976+5878+5331</f>
        <v>17185</v>
      </c>
      <c r="G30" s="16">
        <f>189970+15917+15987</f>
        <v>221874</v>
      </c>
      <c r="H30" s="17"/>
    </row>
    <row r="31" spans="1:8" ht="19.5" customHeight="1" thickBot="1">
      <c r="A31" s="10" t="s">
        <v>36</v>
      </c>
      <c r="B31" s="20">
        <f>2226+2362+2274</f>
        <v>6862</v>
      </c>
      <c r="C31" s="20">
        <f>2148+2023+1738</f>
        <v>5909</v>
      </c>
      <c r="D31" s="20">
        <f>38039+34647+38272</f>
        <v>110958</v>
      </c>
      <c r="E31" s="20">
        <f>26+55+34</f>
        <v>115</v>
      </c>
      <c r="F31" s="20">
        <f>2644+3081+2593</f>
        <v>8318</v>
      </c>
      <c r="G31" s="20">
        <f>8526+9780+8639</f>
        <v>26945</v>
      </c>
      <c r="H31" s="21"/>
    </row>
    <row r="32" spans="1:8" ht="19.5" customHeight="1" thickTop="1">
      <c r="A32" s="11" t="s">
        <v>37</v>
      </c>
      <c r="B32" s="11"/>
      <c r="C32" s="11"/>
      <c r="D32" s="11"/>
      <c r="E32" s="11"/>
      <c r="F32" s="11"/>
      <c r="G32" s="11"/>
      <c r="H32" s="11"/>
    </row>
    <row r="33" spans="1:8" ht="19.5" customHeight="1">
      <c r="A33" s="11" t="s">
        <v>38</v>
      </c>
      <c r="B33" s="11"/>
      <c r="C33" s="11"/>
      <c r="D33" s="11"/>
      <c r="E33" s="11"/>
      <c r="F33" s="11"/>
      <c r="G33" s="11"/>
      <c r="H33" s="11"/>
    </row>
    <row r="34" spans="1:8" ht="19.5" customHeight="1">
      <c r="A34" s="11" t="s">
        <v>39</v>
      </c>
      <c r="B34" s="11"/>
      <c r="C34" s="11"/>
      <c r="D34" s="11"/>
      <c r="E34" s="11"/>
      <c r="F34" s="11"/>
      <c r="G34" s="11"/>
      <c r="H34" s="11"/>
    </row>
    <row r="35" spans="1:8" ht="19.5" customHeight="1">
      <c r="A35" s="11" t="s">
        <v>40</v>
      </c>
      <c r="B35" s="11"/>
      <c r="C35" s="11"/>
      <c r="D35" s="11"/>
      <c r="E35" s="11"/>
      <c r="F35" s="11"/>
      <c r="G35" s="11"/>
      <c r="H35" s="11"/>
    </row>
    <row r="36" spans="1:8" ht="19.5" customHeight="1">
      <c r="A36" s="11"/>
      <c r="B36" s="11"/>
      <c r="C36" s="11"/>
      <c r="D36" s="11"/>
      <c r="E36" s="11"/>
      <c r="F36" s="11"/>
      <c r="G36" s="11"/>
      <c r="H36" s="11"/>
    </row>
    <row r="37" spans="1:8" ht="19.5" customHeight="1">
      <c r="A37" s="11"/>
      <c r="B37" s="11"/>
      <c r="C37" s="11"/>
      <c r="D37" s="11"/>
      <c r="E37" s="11"/>
      <c r="F37" s="11"/>
      <c r="G37" s="11"/>
      <c r="H37" s="11"/>
    </row>
    <row r="38" spans="1:8" ht="19.5" customHeight="1">
      <c r="A38" s="11"/>
      <c r="B38" s="11"/>
      <c r="C38" s="11"/>
      <c r="D38" s="11"/>
      <c r="E38" s="11"/>
      <c r="F38" s="11"/>
      <c r="G38" s="11"/>
      <c r="H38" s="11"/>
    </row>
  </sheetData>
  <mergeCells count="3">
    <mergeCell ref="D5:D6"/>
    <mergeCell ref="G5:G6"/>
    <mergeCell ref="A4:A6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4">
      <selection activeCell="G9" sqref="G9"/>
    </sheetView>
  </sheetViews>
  <sheetFormatPr defaultColWidth="9.00390625" defaultRowHeight="16.5"/>
  <cols>
    <col min="1" max="8" width="10.625" style="0" customWidth="1"/>
  </cols>
  <sheetData>
    <row r="1" spans="1:8" ht="19.5" customHeight="1">
      <c r="A1" s="23" t="s">
        <v>41</v>
      </c>
      <c r="B1" s="23" t="s">
        <v>0</v>
      </c>
      <c r="C1" s="24"/>
      <c r="D1" s="11"/>
      <c r="E1" s="11"/>
      <c r="F1" s="11"/>
      <c r="G1" s="11"/>
      <c r="H1" s="11"/>
    </row>
    <row r="2" spans="1:8" ht="19.5" customHeight="1">
      <c r="A2" s="2"/>
      <c r="B2" s="2"/>
      <c r="C2" s="11"/>
      <c r="D2" s="11"/>
      <c r="E2" s="11"/>
      <c r="F2" s="11"/>
      <c r="G2" s="11"/>
      <c r="H2" s="11"/>
    </row>
    <row r="3" spans="1:8" ht="19.5" customHeight="1" thickBot="1">
      <c r="A3" s="2" t="s">
        <v>45</v>
      </c>
      <c r="B3" s="11"/>
      <c r="C3" s="11"/>
      <c r="D3" s="11"/>
      <c r="E3" s="11"/>
      <c r="F3" s="11"/>
      <c r="G3" s="11"/>
      <c r="H3" s="2" t="s">
        <v>30</v>
      </c>
    </row>
    <row r="4" spans="1:8" ht="19.5" customHeight="1" thickTop="1">
      <c r="A4" s="33" t="s">
        <v>46</v>
      </c>
      <c r="B4" s="41" t="s">
        <v>31</v>
      </c>
      <c r="C4" s="42"/>
      <c r="D4" s="43"/>
      <c r="E4" s="41" t="s">
        <v>32</v>
      </c>
      <c r="F4" s="42"/>
      <c r="G4" s="43"/>
      <c r="H4" s="13"/>
    </row>
    <row r="5" spans="1:8" ht="19.5" customHeight="1">
      <c r="A5" s="34"/>
      <c r="B5" s="39" t="s">
        <v>1</v>
      </c>
      <c r="C5" s="40"/>
      <c r="D5" s="31" t="s">
        <v>2</v>
      </c>
      <c r="E5" s="39" t="s">
        <v>1</v>
      </c>
      <c r="F5" s="40"/>
      <c r="G5" s="31" t="s">
        <v>2</v>
      </c>
      <c r="H5" s="28" t="s">
        <v>33</v>
      </c>
    </row>
    <row r="6" spans="1:8" ht="19.5" customHeight="1">
      <c r="A6" s="35"/>
      <c r="B6" s="30" t="s">
        <v>3</v>
      </c>
      <c r="C6" s="30" t="s">
        <v>4</v>
      </c>
      <c r="D6" s="32"/>
      <c r="E6" s="30" t="s">
        <v>3</v>
      </c>
      <c r="F6" s="30" t="s">
        <v>4</v>
      </c>
      <c r="G6" s="32"/>
      <c r="H6" s="15"/>
    </row>
    <row r="7" spans="1:8" ht="19.5" customHeight="1">
      <c r="A7" s="6" t="s">
        <v>5</v>
      </c>
      <c r="B7" s="16">
        <f aca="true" t="shared" si="0" ref="B7:G7">B8+B30+B31</f>
        <v>198701</v>
      </c>
      <c r="C7" s="16">
        <f t="shared" si="0"/>
        <v>101364</v>
      </c>
      <c r="D7" s="16">
        <f t="shared" si="0"/>
        <v>2745088</v>
      </c>
      <c r="E7" s="16">
        <f t="shared" si="0"/>
        <v>2037</v>
      </c>
      <c r="F7" s="16">
        <f t="shared" si="0"/>
        <v>124950</v>
      </c>
      <c r="G7" s="16">
        <f t="shared" si="0"/>
        <v>318017</v>
      </c>
      <c r="H7" s="17"/>
    </row>
    <row r="8" spans="1:8" ht="19.5" customHeight="1">
      <c r="A8" s="7" t="s">
        <v>34</v>
      </c>
      <c r="B8" s="16">
        <f aca="true" t="shared" si="1" ref="B8:G8">SUM(B9:B29)</f>
        <v>169723</v>
      </c>
      <c r="C8" s="16">
        <f t="shared" si="1"/>
        <v>83955</v>
      </c>
      <c r="D8" s="16">
        <f t="shared" si="1"/>
        <v>1729770</v>
      </c>
      <c r="E8" s="16">
        <f t="shared" si="1"/>
        <v>1572</v>
      </c>
      <c r="F8" s="16">
        <f t="shared" si="1"/>
        <v>98362</v>
      </c>
      <c r="G8" s="16">
        <f t="shared" si="1"/>
        <v>234852</v>
      </c>
      <c r="H8" s="17"/>
    </row>
    <row r="9" spans="1:8" ht="19.5" customHeight="1">
      <c r="A9" s="8" t="s">
        <v>6</v>
      </c>
      <c r="B9" s="16">
        <f>962+918+1095</f>
        <v>2975</v>
      </c>
      <c r="C9" s="16">
        <f>653+662+778</f>
        <v>2093</v>
      </c>
      <c r="D9" s="16">
        <f>2263+7920+4473</f>
        <v>14656</v>
      </c>
      <c r="E9" s="16">
        <v>8</v>
      </c>
      <c r="F9" s="16">
        <f>821+737+861</f>
        <v>2419</v>
      </c>
      <c r="G9" s="16">
        <f>1422+1272+1624</f>
        <v>4318</v>
      </c>
      <c r="H9" s="17"/>
    </row>
    <row r="10" spans="1:8" ht="19.5" customHeight="1">
      <c r="A10" s="8" t="s">
        <v>7</v>
      </c>
      <c r="B10" s="16">
        <f>9122+10715+13964</f>
        <v>33801</v>
      </c>
      <c r="C10" s="16">
        <f>4774+5503+6517</f>
        <v>16794</v>
      </c>
      <c r="D10" s="16">
        <f>151274+121101+171324</f>
        <v>443699</v>
      </c>
      <c r="E10" s="16">
        <f>7+16+15</f>
        <v>38</v>
      </c>
      <c r="F10" s="16">
        <f>8013+9093+9133</f>
        <v>26239</v>
      </c>
      <c r="G10" s="16">
        <f>17863+19687+20621</f>
        <v>58171</v>
      </c>
      <c r="H10" s="17"/>
    </row>
    <row r="11" spans="1:8" ht="19.5" customHeight="1">
      <c r="A11" s="8" t="s">
        <v>8</v>
      </c>
      <c r="B11" s="16">
        <f>6309+5922+7075</f>
        <v>19306</v>
      </c>
      <c r="C11" s="16">
        <f>3779+3613+3725</f>
        <v>11117</v>
      </c>
      <c r="D11" s="16">
        <f>89263+69619+119421</f>
        <v>278303</v>
      </c>
      <c r="E11" s="16">
        <f>541+351+62</f>
        <v>954</v>
      </c>
      <c r="F11" s="16">
        <f>4559+4781+5834</f>
        <v>15174</v>
      </c>
      <c r="G11" s="16">
        <f>11941+12050+13463</f>
        <v>37454</v>
      </c>
      <c r="H11" s="17"/>
    </row>
    <row r="12" spans="1:8" ht="19.5" customHeight="1">
      <c r="A12" s="8" t="s">
        <v>9</v>
      </c>
      <c r="B12" s="16">
        <f>1605+1631+1477</f>
        <v>4713</v>
      </c>
      <c r="C12" s="16">
        <f>642+966+562</f>
        <v>2170</v>
      </c>
      <c r="D12" s="16">
        <f>7902+11639+6703</f>
        <v>26244</v>
      </c>
      <c r="E12" s="16">
        <v>3</v>
      </c>
      <c r="F12" s="16">
        <f>521+521+576</f>
        <v>1618</v>
      </c>
      <c r="G12" s="16">
        <f>1116+1529+1164</f>
        <v>3809</v>
      </c>
      <c r="H12" s="17"/>
    </row>
    <row r="13" spans="1:8" ht="19.5" customHeight="1">
      <c r="A13" s="8" t="s">
        <v>10</v>
      </c>
      <c r="B13" s="16">
        <f>887+1300+873</f>
        <v>3060</v>
      </c>
      <c r="C13" s="16">
        <f>570+762+495</f>
        <v>1827</v>
      </c>
      <c r="D13" s="16">
        <f>8316+24167+7504</f>
        <v>39987</v>
      </c>
      <c r="E13" s="16">
        <v>15</v>
      </c>
      <c r="F13" s="16">
        <f>678+585+838</f>
        <v>2101</v>
      </c>
      <c r="G13" s="16">
        <f>1984+1276+2572</f>
        <v>5832</v>
      </c>
      <c r="H13" s="17"/>
    </row>
    <row r="14" spans="1:8" ht="19.5" customHeight="1">
      <c r="A14" s="8" t="s">
        <v>11</v>
      </c>
      <c r="B14" s="16">
        <f>2642+1964+919</f>
        <v>5525</v>
      </c>
      <c r="C14" s="16">
        <f>643+489+153</f>
        <v>1285</v>
      </c>
      <c r="D14" s="16">
        <f>6850+5652+1030</f>
        <v>13532</v>
      </c>
      <c r="E14" s="16">
        <v>0</v>
      </c>
      <c r="F14" s="16">
        <f>878+1293+1310</f>
        <v>3481</v>
      </c>
      <c r="G14" s="16">
        <f>2066+2312+2425</f>
        <v>6803</v>
      </c>
      <c r="H14" s="17"/>
    </row>
    <row r="15" spans="1:8" ht="19.5" customHeight="1">
      <c r="A15" s="8" t="s">
        <v>12</v>
      </c>
      <c r="B15" s="16">
        <f>3818+3773+3861</f>
        <v>11452</v>
      </c>
      <c r="C15" s="16">
        <f>2220+2149+2125</f>
        <v>6494</v>
      </c>
      <c r="D15" s="16">
        <f>33083+25381+28519</f>
        <v>86983</v>
      </c>
      <c r="E15" s="16">
        <f>147+24+12</f>
        <v>183</v>
      </c>
      <c r="F15" s="16">
        <f>3828+3179+4450</f>
        <v>11457</v>
      </c>
      <c r="G15" s="16">
        <f>9119+8187+14623</f>
        <v>31929</v>
      </c>
      <c r="H15" s="17"/>
    </row>
    <row r="16" spans="1:8" ht="19.5" customHeight="1">
      <c r="A16" s="8" t="s">
        <v>13</v>
      </c>
      <c r="B16" s="16">
        <f>3354+4040+4580</f>
        <v>11974</v>
      </c>
      <c r="C16" s="16">
        <f>2317+2671+2422</f>
        <v>7410</v>
      </c>
      <c r="D16" s="16">
        <f>39529+39308+51794</f>
        <v>130631</v>
      </c>
      <c r="E16" s="16">
        <f>29+1+42</f>
        <v>72</v>
      </c>
      <c r="F16" s="16">
        <f>2198+2125+2266</f>
        <v>6589</v>
      </c>
      <c r="G16" s="16">
        <f>4856+4545+5064</f>
        <v>14465</v>
      </c>
      <c r="H16" s="17"/>
    </row>
    <row r="17" spans="1:8" ht="19.5" customHeight="1">
      <c r="A17" s="8" t="s">
        <v>14</v>
      </c>
      <c r="B17" s="16">
        <f>2659+2915+3228</f>
        <v>8802</v>
      </c>
      <c r="C17" s="16">
        <f>1510+1558+1650</f>
        <v>4718</v>
      </c>
      <c r="D17" s="16">
        <f>41000+25913+26743</f>
        <v>93656</v>
      </c>
      <c r="E17" s="16">
        <v>1</v>
      </c>
      <c r="F17" s="16">
        <f>733+957+1058</f>
        <v>2748</v>
      </c>
      <c r="G17" s="16">
        <f>2570+2613+3048</f>
        <v>8231</v>
      </c>
      <c r="H17" s="17"/>
    </row>
    <row r="18" spans="1:8" ht="19.5" customHeight="1">
      <c r="A18" s="8" t="s">
        <v>15</v>
      </c>
      <c r="B18" s="16">
        <f>1524+1458+1701</f>
        <v>4683</v>
      </c>
      <c r="C18" s="16">
        <f>670+759+1036</f>
        <v>2465</v>
      </c>
      <c r="D18" s="16">
        <f>8611+8142+18696</f>
        <v>35449</v>
      </c>
      <c r="E18" s="16">
        <v>44</v>
      </c>
      <c r="F18" s="16">
        <f>413+465+531</f>
        <v>1409</v>
      </c>
      <c r="G18" s="16">
        <f>981+1239+1786</f>
        <v>4006</v>
      </c>
      <c r="H18" s="17"/>
    </row>
    <row r="19" spans="1:8" ht="19.5" customHeight="1">
      <c r="A19" s="9" t="s">
        <v>16</v>
      </c>
      <c r="B19" s="16">
        <f>1839+2215+2323</f>
        <v>6377</v>
      </c>
      <c r="C19" s="16">
        <f>942+960+822</f>
        <v>2724</v>
      </c>
      <c r="D19" s="16">
        <f>10710+10209+9484</f>
        <v>30403</v>
      </c>
      <c r="E19" s="16">
        <f>7+18+20</f>
        <v>45</v>
      </c>
      <c r="F19" s="16">
        <f>452+649+500</f>
        <v>1601</v>
      </c>
      <c r="G19" s="16">
        <f>1145+1500+1209</f>
        <v>3854</v>
      </c>
      <c r="H19" s="17"/>
    </row>
    <row r="20" spans="1:8" ht="19.5" customHeight="1">
      <c r="A20" s="8" t="s">
        <v>17</v>
      </c>
      <c r="B20" s="16">
        <f>639+768+681</f>
        <v>2088</v>
      </c>
      <c r="C20" s="16">
        <f>397+358+612</f>
        <v>1367</v>
      </c>
      <c r="D20" s="16">
        <f>26920+11194+17328</f>
        <v>55442</v>
      </c>
      <c r="E20" s="16">
        <v>1</v>
      </c>
      <c r="F20" s="16">
        <f>470+548+522</f>
        <v>1540</v>
      </c>
      <c r="G20" s="16">
        <f>1021+1144+1408</f>
        <v>3573</v>
      </c>
      <c r="H20" s="17"/>
    </row>
    <row r="21" spans="1:8" ht="19.5" customHeight="1">
      <c r="A21" s="8" t="s">
        <v>18</v>
      </c>
      <c r="B21" s="29">
        <f>1296+1607+1509</f>
        <v>4412</v>
      </c>
      <c r="C21" s="16">
        <f>528+636+570</f>
        <v>1734</v>
      </c>
      <c r="D21" s="16">
        <f>3163+6282+9373</f>
        <v>18818</v>
      </c>
      <c r="E21" s="16">
        <f>22+9</f>
        <v>31</v>
      </c>
      <c r="F21" s="16">
        <f>440+399+564</f>
        <v>1403</v>
      </c>
      <c r="G21" s="16">
        <f>926+768+1191</f>
        <v>2885</v>
      </c>
      <c r="H21" s="17"/>
    </row>
    <row r="22" spans="1:8" ht="19.5" customHeight="1">
      <c r="A22" s="8" t="s">
        <v>19</v>
      </c>
      <c r="B22" s="16">
        <f>3338+2474+2495</f>
        <v>8307</v>
      </c>
      <c r="C22" s="16">
        <f>1111+1316+1560</f>
        <v>3987</v>
      </c>
      <c r="D22" s="16">
        <f>28986+30737+38976</f>
        <v>98699</v>
      </c>
      <c r="E22" s="16">
        <f>7+36+46</f>
        <v>89</v>
      </c>
      <c r="F22" s="16">
        <f>1577+1793+1383</f>
        <v>4753</v>
      </c>
      <c r="G22" s="16">
        <f>4722+5354+3878</f>
        <v>13954</v>
      </c>
      <c r="H22" s="17"/>
    </row>
    <row r="23" spans="1:8" ht="19.5" customHeight="1">
      <c r="A23" s="8" t="s">
        <v>20</v>
      </c>
      <c r="B23" s="16">
        <f>5038+3105+4372</f>
        <v>12515</v>
      </c>
      <c r="C23" s="16">
        <f>2558+1448+1436</f>
        <v>5442</v>
      </c>
      <c r="D23" s="16">
        <f>67364+35118+41098</f>
        <v>143580</v>
      </c>
      <c r="E23" s="16">
        <f>16+19+14</f>
        <v>49</v>
      </c>
      <c r="F23" s="16">
        <f>1286+1190+1327</f>
        <v>3803</v>
      </c>
      <c r="G23" s="16">
        <f>3396+3034+3371</f>
        <v>9801</v>
      </c>
      <c r="H23" s="17"/>
    </row>
    <row r="24" spans="1:8" ht="19.5" customHeight="1">
      <c r="A24" s="8" t="s">
        <v>21</v>
      </c>
      <c r="B24" s="16">
        <f>3766+3694+3731</f>
        <v>11191</v>
      </c>
      <c r="C24" s="16">
        <f>1328+1280+1169</f>
        <v>3777</v>
      </c>
      <c r="D24" s="16">
        <f>47617+35533+36587</f>
        <v>119737</v>
      </c>
      <c r="E24" s="16">
        <v>5</v>
      </c>
      <c r="F24" s="16">
        <f>1643+1404+1387</f>
        <v>4434</v>
      </c>
      <c r="G24" s="16">
        <f>4121+3562+3419</f>
        <v>11102</v>
      </c>
      <c r="H24" s="17"/>
    </row>
    <row r="25" spans="1:8" ht="19.5" customHeight="1">
      <c r="A25" s="8" t="s">
        <v>22</v>
      </c>
      <c r="B25" s="16">
        <f>2645+2319+2615</f>
        <v>7579</v>
      </c>
      <c r="C25" s="16">
        <f>958+1024+1320</f>
        <v>3302</v>
      </c>
      <c r="D25" s="16">
        <f>13758+12783+15333</f>
        <v>41874</v>
      </c>
      <c r="E25" s="16">
        <v>0</v>
      </c>
      <c r="F25" s="16">
        <f>983+1000+983</f>
        <v>2966</v>
      </c>
      <c r="G25" s="16">
        <f>2350+1854+2297</f>
        <v>6501</v>
      </c>
      <c r="H25" s="17"/>
    </row>
    <row r="26" spans="1:8" ht="19.5" customHeight="1">
      <c r="A26" s="8" t="s">
        <v>23</v>
      </c>
      <c r="B26" s="16">
        <f>1029+1261+1463</f>
        <v>3753</v>
      </c>
      <c r="C26" s="16">
        <f>508+793+1087</f>
        <v>2388</v>
      </c>
      <c r="D26" s="16">
        <f>7312+8993+12126</f>
        <v>28431</v>
      </c>
      <c r="E26" s="16">
        <f>11+6</f>
        <v>17</v>
      </c>
      <c r="F26" s="16">
        <f>701+725+631</f>
        <v>2057</v>
      </c>
      <c r="G26" s="16">
        <f>1271+1480+1336</f>
        <v>4087</v>
      </c>
      <c r="H26" s="17"/>
    </row>
    <row r="27" spans="1:8" ht="19.5" customHeight="1">
      <c r="A27" s="8" t="s">
        <v>24</v>
      </c>
      <c r="B27" s="16">
        <f>1130+1343+1332</f>
        <v>3805</v>
      </c>
      <c r="C27" s="16">
        <f>371+403+442</f>
        <v>1216</v>
      </c>
      <c r="D27" s="16">
        <f>6885+5335+3956</f>
        <v>16176</v>
      </c>
      <c r="E27" s="16">
        <f>4+9</f>
        <v>13</v>
      </c>
      <c r="F27" s="16">
        <f>440+564+618</f>
        <v>1622</v>
      </c>
      <c r="G27" s="16">
        <f>646+859+1052</f>
        <v>2557</v>
      </c>
      <c r="H27" s="17"/>
    </row>
    <row r="28" spans="1:8" ht="19.5" customHeight="1">
      <c r="A28" s="8" t="s">
        <v>25</v>
      </c>
      <c r="B28" s="16">
        <f>908+801+1149</f>
        <v>2858</v>
      </c>
      <c r="C28" s="16">
        <f>243+253+315</f>
        <v>811</v>
      </c>
      <c r="D28" s="16">
        <f>2776+4134+4676</f>
        <v>11586</v>
      </c>
      <c r="E28" s="16">
        <v>4</v>
      </c>
      <c r="F28" s="16">
        <f>262+288+261</f>
        <v>811</v>
      </c>
      <c r="G28" s="16">
        <f>401+448+425</f>
        <v>1274</v>
      </c>
      <c r="H28" s="17"/>
    </row>
    <row r="29" spans="1:8" ht="19.5" customHeight="1">
      <c r="A29" s="8" t="s">
        <v>26</v>
      </c>
      <c r="B29" s="16">
        <f>175+175+197</f>
        <v>547</v>
      </c>
      <c r="C29" s="16">
        <f>240+297+297</f>
        <v>834</v>
      </c>
      <c r="D29" s="16">
        <f>703+762+419</f>
        <v>1884</v>
      </c>
      <c r="E29" s="16">
        <v>0</v>
      </c>
      <c r="F29" s="16">
        <f>19+59+59</f>
        <v>137</v>
      </c>
      <c r="G29" s="16">
        <f>36+83+127</f>
        <v>246</v>
      </c>
      <c r="H29" s="17"/>
    </row>
    <row r="30" spans="1:8" ht="19.5" customHeight="1">
      <c r="A30" s="7" t="s">
        <v>35</v>
      </c>
      <c r="B30" s="16">
        <f>6397+6716+8021</f>
        <v>21134</v>
      </c>
      <c r="C30" s="16">
        <f>3589+3706+3923</f>
        <v>11218</v>
      </c>
      <c r="D30" s="16">
        <f>137884+448674+300443</f>
        <v>887001</v>
      </c>
      <c r="E30" s="16">
        <f>35+127+153</f>
        <v>315</v>
      </c>
      <c r="F30" s="16">
        <f>5404+5966+6416</f>
        <v>17786</v>
      </c>
      <c r="G30" s="16">
        <f>15070+16142+21575</f>
        <v>52787</v>
      </c>
      <c r="H30" s="17"/>
    </row>
    <row r="31" spans="1:8" ht="19.5" customHeight="1" thickBot="1">
      <c r="A31" s="10" t="s">
        <v>36</v>
      </c>
      <c r="B31" s="20">
        <f>2392+2598+2854</f>
        <v>7844</v>
      </c>
      <c r="C31" s="20">
        <f>2083+1963+2145</f>
        <v>6191</v>
      </c>
      <c r="D31" s="20">
        <f>46146+43628+38543</f>
        <v>128317</v>
      </c>
      <c r="E31" s="20">
        <f>21+91+38</f>
        <v>150</v>
      </c>
      <c r="F31" s="20">
        <f>2556+3031+3215</f>
        <v>8802</v>
      </c>
      <c r="G31" s="20">
        <f>8484+9937+11957</f>
        <v>30378</v>
      </c>
      <c r="H31" s="21"/>
    </row>
    <row r="32" spans="1:8" ht="19.5" customHeight="1" thickTop="1">
      <c r="A32" s="11" t="s">
        <v>37</v>
      </c>
      <c r="B32" s="11"/>
      <c r="C32" s="11"/>
      <c r="D32" s="11"/>
      <c r="E32" s="11"/>
      <c r="F32" s="11"/>
      <c r="G32" s="11"/>
      <c r="H32" s="11"/>
    </row>
    <row r="33" spans="1:8" ht="19.5" customHeight="1">
      <c r="A33" s="11" t="s">
        <v>38</v>
      </c>
      <c r="B33" s="11"/>
      <c r="C33" s="11"/>
      <c r="D33" s="11"/>
      <c r="E33" s="11"/>
      <c r="F33" s="11"/>
      <c r="G33" s="11"/>
      <c r="H33" s="11"/>
    </row>
    <row r="34" spans="1:8" ht="19.5" customHeight="1">
      <c r="A34" s="11" t="s">
        <v>39</v>
      </c>
      <c r="B34" s="11"/>
      <c r="C34" s="11"/>
      <c r="D34" s="11"/>
      <c r="E34" s="11"/>
      <c r="F34" s="11"/>
      <c r="G34" s="11"/>
      <c r="H34" s="11"/>
    </row>
    <row r="35" spans="1:8" ht="19.5" customHeight="1">
      <c r="A35" s="11" t="s">
        <v>40</v>
      </c>
      <c r="B35" s="11"/>
      <c r="C35" s="11"/>
      <c r="D35" s="11"/>
      <c r="E35" s="11"/>
      <c r="F35" s="11"/>
      <c r="G35" s="11"/>
      <c r="H35" s="11"/>
    </row>
    <row r="36" spans="1:8" ht="19.5" customHeight="1">
      <c r="A36" s="11"/>
      <c r="B36" s="11"/>
      <c r="C36" s="11"/>
      <c r="D36" s="11"/>
      <c r="E36" s="11"/>
      <c r="F36" s="11"/>
      <c r="G36" s="11"/>
      <c r="H36" s="11"/>
    </row>
    <row r="37" spans="1:8" ht="19.5" customHeight="1">
      <c r="A37" s="11"/>
      <c r="B37" s="11"/>
      <c r="C37" s="11"/>
      <c r="D37" s="11"/>
      <c r="E37" s="11"/>
      <c r="F37" s="11"/>
      <c r="G37" s="11"/>
      <c r="H37" s="11"/>
    </row>
    <row r="38" spans="1:8" ht="19.5" customHeight="1">
      <c r="A38" s="11"/>
      <c r="B38" s="11"/>
      <c r="C38" s="11"/>
      <c r="D38" s="11"/>
      <c r="E38" s="11"/>
      <c r="F38" s="11"/>
      <c r="G38" s="11"/>
      <c r="H38" s="11"/>
    </row>
  </sheetData>
  <mergeCells count="7">
    <mergeCell ref="A4:A6"/>
    <mergeCell ref="D5:D6"/>
    <mergeCell ref="G5:G6"/>
    <mergeCell ref="B5:C5"/>
    <mergeCell ref="B4:D4"/>
    <mergeCell ref="E4:G4"/>
    <mergeCell ref="E5:F5"/>
  </mergeCells>
  <printOptions horizont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B24" sqref="B24"/>
    </sheetView>
  </sheetViews>
  <sheetFormatPr defaultColWidth="9.00390625" defaultRowHeight="16.5"/>
  <cols>
    <col min="1" max="4" width="20.625" style="0" customWidth="1"/>
  </cols>
  <sheetData>
    <row r="1" spans="1:4" ht="19.5" customHeight="1">
      <c r="A1" s="23" t="s">
        <v>48</v>
      </c>
      <c r="B1" s="23" t="s">
        <v>49</v>
      </c>
      <c r="C1" s="24"/>
      <c r="D1" s="11"/>
    </row>
    <row r="2" spans="1:4" ht="19.5" customHeight="1">
      <c r="A2" s="23"/>
      <c r="B2" s="23"/>
      <c r="C2" s="24"/>
      <c r="D2" s="11"/>
    </row>
    <row r="3" spans="1:4" ht="19.5" customHeight="1" thickBot="1">
      <c r="A3" s="2" t="s">
        <v>47</v>
      </c>
      <c r="B3" s="11"/>
      <c r="C3" s="11"/>
      <c r="D3" s="11"/>
    </row>
    <row r="4" spans="1:4" ht="19.5" customHeight="1" thickTop="1">
      <c r="A4" s="33" t="s">
        <v>50</v>
      </c>
      <c r="B4" s="3" t="s">
        <v>27</v>
      </c>
      <c r="C4" s="3" t="s">
        <v>28</v>
      </c>
      <c r="D4" s="25"/>
    </row>
    <row r="5" spans="1:4" ht="19.5" customHeight="1">
      <c r="A5" s="44"/>
      <c r="B5" s="4" t="s">
        <v>1</v>
      </c>
      <c r="C5" s="4" t="s">
        <v>1</v>
      </c>
      <c r="D5" s="26" t="s">
        <v>33</v>
      </c>
    </row>
    <row r="6" spans="1:4" ht="19.5" customHeight="1">
      <c r="A6" s="6" t="s">
        <v>5</v>
      </c>
      <c r="B6" s="16">
        <f>+'第一季'!B7+'第一季'!C7+'第二季'!B7+'第二季'!C7+'第三季'!B7+'第三季'!C7+'第四季'!B7+'第四季'!C7</f>
        <v>1201069</v>
      </c>
      <c r="C6" s="16">
        <f>+'第一季'!E7+'第一季'!F7+'第二季'!E7+'第二季'!F7+'第三季'!E7+'第三季'!F7+'第四季'!E7+'第四季'!F7</f>
        <v>511920</v>
      </c>
      <c r="D6" s="17"/>
    </row>
    <row r="7" spans="1:4" ht="19.5" customHeight="1">
      <c r="A7" s="7" t="s">
        <v>34</v>
      </c>
      <c r="B7" s="16">
        <f>+'第一季'!B8+'第一季'!C8+'第二季'!B8+'第二季'!C8+'第三季'!B8+'第三季'!C8+'第四季'!B8+'第四季'!C8</f>
        <v>1014638</v>
      </c>
      <c r="C7" s="16">
        <f>+'第一季'!E8+'第一季'!F8+'第二季'!E8+'第二季'!F8+'第三季'!E8+'第三季'!F8+'第四季'!E8+'第四季'!F8</f>
        <v>399931</v>
      </c>
      <c r="D7" s="17"/>
    </row>
    <row r="8" spans="1:4" ht="19.5" customHeight="1">
      <c r="A8" s="8" t="s">
        <v>6</v>
      </c>
      <c r="B8" s="16">
        <f>+'第一季'!B9+'第一季'!C9+'第二季'!B9+'第二季'!C9+'第三季'!B9+'第三季'!C9+'第四季'!B9+'第四季'!C9</f>
        <v>20105</v>
      </c>
      <c r="C8" s="16">
        <f>+'第一季'!E9+'第一季'!F9+'第二季'!E9+'第二季'!F9+'第三季'!E9+'第三季'!F9+'第四季'!E9+'第四季'!F9</f>
        <v>9718</v>
      </c>
      <c r="D8" s="17"/>
    </row>
    <row r="9" spans="1:4" ht="19.5" customHeight="1">
      <c r="A9" s="8" t="s">
        <v>7</v>
      </c>
      <c r="B9" s="16">
        <f>+'第一季'!B10+'第一季'!C10+'第二季'!B10+'第二季'!C10+'第三季'!B10+'第三季'!C10+'第四季'!B10+'第四季'!C10</f>
        <v>199930</v>
      </c>
      <c r="C9" s="16">
        <f>+'第一季'!E10+'第一季'!F10+'第二季'!E10+'第二季'!F10+'第三季'!E10+'第三季'!F10+'第四季'!E10+'第四季'!F10</f>
        <v>114822</v>
      </c>
      <c r="D9" s="17"/>
    </row>
    <row r="10" spans="1:4" ht="19.5" customHeight="1">
      <c r="A10" s="8" t="s">
        <v>8</v>
      </c>
      <c r="B10" s="16">
        <f>+'第一季'!B11+'第一季'!C11+'第二季'!B11+'第二季'!C11+'第三季'!B11+'第三季'!C11+'第四季'!B11+'第四季'!C11</f>
        <v>149346</v>
      </c>
      <c r="C10" s="16">
        <f>+'第一季'!E11+'第一季'!F11+'第二季'!E11+'第二季'!F11+'第三季'!E11+'第三季'!F11+'第四季'!E11+'第四季'!F11</f>
        <v>62543</v>
      </c>
      <c r="D10" s="17"/>
    </row>
    <row r="11" spans="1:4" ht="19.5" customHeight="1">
      <c r="A11" s="8" t="s">
        <v>9</v>
      </c>
      <c r="B11" s="16">
        <f>+'第一季'!B12+'第一季'!C12+'第二季'!B12+'第二季'!C12+'第三季'!B12+'第三季'!C12+'第四季'!B12+'第四季'!C12</f>
        <v>34202</v>
      </c>
      <c r="C11" s="16">
        <f>+'第一季'!E12+'第一季'!F12+'第二季'!E12+'第二季'!F12+'第三季'!E12+'第三季'!F12+'第四季'!E12+'第四季'!F12</f>
        <v>6585</v>
      </c>
      <c r="D11" s="17"/>
    </row>
    <row r="12" spans="1:4" ht="19.5" customHeight="1">
      <c r="A12" s="8" t="s">
        <v>10</v>
      </c>
      <c r="B12" s="16">
        <f>+'第一季'!B13+'第一季'!C13+'第二季'!B13+'第二季'!C13+'第三季'!B13+'第三季'!C13+'第四季'!B13+'第四季'!C13</f>
        <v>20922</v>
      </c>
      <c r="C12" s="16">
        <f>+'第一季'!E13+'第一季'!F13+'第二季'!E13+'第二季'!F13+'第三季'!E13+'第三季'!F13+'第四季'!E13+'第四季'!F13</f>
        <v>8783</v>
      </c>
      <c r="D12" s="17"/>
    </row>
    <row r="13" spans="1:4" ht="19.5" customHeight="1">
      <c r="A13" s="8" t="s">
        <v>11</v>
      </c>
      <c r="B13" s="16">
        <f>+'第一季'!B14+'第一季'!C14+'第二季'!B14+'第二季'!C14+'第三季'!B14+'第三季'!C14+'第四季'!B14+'第四季'!C14</f>
        <v>38211</v>
      </c>
      <c r="C13" s="16">
        <f>+'第一季'!E14+'第一季'!F14+'第二季'!E14+'第二季'!F14+'第三季'!E14+'第三季'!F14+'第四季'!E14+'第四季'!F14</f>
        <v>10845</v>
      </c>
      <c r="D13" s="17"/>
    </row>
    <row r="14" spans="1:4" ht="19.5" customHeight="1">
      <c r="A14" s="8" t="s">
        <v>12</v>
      </c>
      <c r="B14" s="16">
        <f>+'第一季'!B15+'第一季'!C15+'第二季'!B15+'第二季'!C15+'第三季'!B15+'第三季'!C15+'第四季'!B15+'第四季'!C15</f>
        <v>58661</v>
      </c>
      <c r="C14" s="16">
        <f>+'第一季'!E15+'第一季'!F15+'第二季'!E15+'第二季'!F15+'第三季'!E15+'第三季'!F15+'第四季'!E15+'第四季'!F15</f>
        <v>43048</v>
      </c>
      <c r="D14" s="17"/>
    </row>
    <row r="15" spans="1:4" ht="19.5" customHeight="1">
      <c r="A15" s="8" t="s">
        <v>13</v>
      </c>
      <c r="B15" s="16">
        <f>+'第一季'!B16+'第一季'!C16+'第二季'!B16+'第二季'!C16+'第三季'!B16+'第三季'!C16+'第四季'!B16+'第四季'!C16</f>
        <v>81046</v>
      </c>
      <c r="C15" s="16">
        <f>+'第一季'!E16+'第一季'!F16+'第二季'!E16+'第二季'!F16+'第三季'!E16+'第三季'!F16+'第四季'!E16+'第四季'!F16</f>
        <v>26277</v>
      </c>
      <c r="D15" s="17"/>
    </row>
    <row r="16" spans="1:4" ht="19.5" customHeight="1">
      <c r="A16" s="8" t="s">
        <v>14</v>
      </c>
      <c r="B16" s="16">
        <f>+'第一季'!B17+'第一季'!C17+'第二季'!B17+'第二季'!C17+'第三季'!B17+'第三季'!C17+'第四季'!B17+'第四季'!C17</f>
        <v>45235</v>
      </c>
      <c r="C16" s="16">
        <f>+'第一季'!E17+'第一季'!F17+'第二季'!E17+'第二季'!F17+'第三季'!E17+'第三季'!F17+'第四季'!E17+'第四季'!F17</f>
        <v>9858</v>
      </c>
      <c r="D16" s="17"/>
    </row>
    <row r="17" spans="1:4" ht="19.5" customHeight="1">
      <c r="A17" s="8" t="s">
        <v>15</v>
      </c>
      <c r="B17" s="16">
        <f>+'第一季'!B18+'第一季'!C18+'第二季'!B18+'第二季'!C18+'第三季'!B18+'第三季'!C18+'第四季'!B18+'第四季'!C18</f>
        <v>25368</v>
      </c>
      <c r="C17" s="16">
        <f>+'第一季'!E18+'第一季'!F18+'第二季'!E18+'第二季'!F18+'第三季'!E18+'第三季'!F18+'第四季'!E18+'第四季'!F18</f>
        <v>4937</v>
      </c>
      <c r="D17" s="17"/>
    </row>
    <row r="18" spans="1:4" ht="19.5" customHeight="1">
      <c r="A18" s="9" t="s">
        <v>16</v>
      </c>
      <c r="B18" s="16">
        <f>+'第一季'!B19+'第一季'!C19+'第二季'!B19+'第二季'!C19+'第三季'!B19+'第三季'!C19+'第四季'!B19+'第四季'!C19</f>
        <v>35934</v>
      </c>
      <c r="C18" s="16">
        <f>+'第一季'!E19+'第一季'!F19+'第二季'!E19+'第二季'!F19+'第三季'!E19+'第三季'!F19+'第四季'!E19+'第四季'!F19</f>
        <v>6489</v>
      </c>
      <c r="D18" s="17"/>
    </row>
    <row r="19" spans="1:4" ht="19.5" customHeight="1">
      <c r="A19" s="8" t="s">
        <v>17</v>
      </c>
      <c r="B19" s="16">
        <f>+'第一季'!B20+'第一季'!C20+'第二季'!B20+'第二季'!C20+'第三季'!B20+'第三季'!C20+'第四季'!B20+'第四季'!C20</f>
        <v>13035</v>
      </c>
      <c r="C19" s="16">
        <f>+'第一季'!E20+'第一季'!F20+'第二季'!E20+'第二季'!F20+'第三季'!E20+'第三季'!F20+'第四季'!E20+'第四季'!F20</f>
        <v>5895</v>
      </c>
      <c r="D19" s="17"/>
    </row>
    <row r="20" spans="1:4" ht="19.5" customHeight="1">
      <c r="A20" s="8" t="s">
        <v>18</v>
      </c>
      <c r="B20" s="16">
        <f>+'第一季'!B21+'第一季'!C21+'第二季'!B21+'第二季'!C21+'第三季'!B21+'第三季'!C21+'第四季'!B21+'第四季'!C21</f>
        <v>28152</v>
      </c>
      <c r="C20" s="16">
        <f>+'第一季'!E21+'第一季'!F21+'第二季'!E21+'第二季'!F21+'第三季'!E21+'第三季'!F21+'第四季'!E21+'第四季'!F21</f>
        <v>6220</v>
      </c>
      <c r="D20" s="17"/>
    </row>
    <row r="21" spans="1:4" ht="19.5" customHeight="1">
      <c r="A21" s="8" t="s">
        <v>19</v>
      </c>
      <c r="B21" s="16">
        <f>+'第一季'!B22+'第一季'!C22+'第二季'!B22+'第二季'!C22+'第三季'!B22+'第三季'!C22+'第四季'!B22+'第四季'!C22</f>
        <v>44291</v>
      </c>
      <c r="C21" s="16">
        <f>+'第一季'!E22+'第一季'!F22+'第二季'!E22+'第二季'!F22+'第三季'!E22+'第三季'!F22+'第四季'!E22+'第四季'!F22</f>
        <v>19949</v>
      </c>
      <c r="D21" s="17"/>
    </row>
    <row r="22" spans="1:4" ht="19.5" customHeight="1">
      <c r="A22" s="8" t="s">
        <v>20</v>
      </c>
      <c r="B22" s="16">
        <f>+'第一季'!B23+'第一季'!C23+'第二季'!B23+'第二季'!C23+'第三季'!B23+'第三季'!C23+'第四季'!B23+'第四季'!C23</f>
        <v>61083</v>
      </c>
      <c r="C22" s="16">
        <f>+'第一季'!E23+'第一季'!F23+'第二季'!E23+'第二季'!F23+'第三季'!E23+'第三季'!F23+'第四季'!E23+'第四季'!F23</f>
        <v>15182</v>
      </c>
      <c r="D22" s="17"/>
    </row>
    <row r="23" spans="1:4" ht="19.5" customHeight="1">
      <c r="A23" s="8" t="s">
        <v>21</v>
      </c>
      <c r="B23" s="16">
        <f>+'第一季'!B24+'第一季'!C24+'第二季'!B24+'第二季'!C24+'第三季'!B24+'第三季'!C24+'第四季'!B24+'第四季'!C24</f>
        <v>59257</v>
      </c>
      <c r="C23" s="16">
        <f>+'第一季'!E24+'第一季'!F24+'第二季'!E24+'第二季'!F24+'第三季'!E24+'第三季'!F24+'第四季'!E24+'第四季'!F24</f>
        <v>19355</v>
      </c>
      <c r="D23" s="17"/>
    </row>
    <row r="24" spans="1:4" ht="19.5" customHeight="1">
      <c r="A24" s="8" t="s">
        <v>22</v>
      </c>
      <c r="B24" s="16">
        <f>+'第一季'!B25+'第一季'!C25+'第二季'!B25+'第二季'!C25+'第三季'!B25+'第三季'!C25+'第四季'!B25+'第四季'!C25</f>
        <v>38421</v>
      </c>
      <c r="C24" s="16">
        <f>+'第一季'!E25+'第一季'!F26+'第二季'!E25+'第二季'!F25+'第三季'!E25+'第三季'!F25+'第四季'!E25+'第四季'!F25</f>
        <v>10671</v>
      </c>
      <c r="D24" s="17"/>
    </row>
    <row r="25" spans="1:4" ht="19.5" customHeight="1">
      <c r="A25" s="8" t="s">
        <v>23</v>
      </c>
      <c r="B25" s="16">
        <f>+'第一季'!B26+'第一季'!C26+'第二季'!B26+'第二季'!C26+'第三季'!B26+'第三季'!C26+'第四季'!B26+'第四季'!C26</f>
        <v>24723</v>
      </c>
      <c r="C25" s="16">
        <f>+'第一季'!E26+'第一季'!F26+'第二季'!E26+'第二季'!F26+'第三季'!E26+'第三季'!F26+'第四季'!E26+'第四季'!F26</f>
        <v>7826</v>
      </c>
      <c r="D25" s="17"/>
    </row>
    <row r="26" spans="1:4" ht="19.5" customHeight="1">
      <c r="A26" s="8" t="s">
        <v>24</v>
      </c>
      <c r="B26" s="16">
        <f>+'第一季'!B27+'第一季'!C27+'第二季'!B27+'第二季'!C27+'第三季'!B27+'第三季'!C27+'第四季'!B27+'第四季'!C27</f>
        <v>19906</v>
      </c>
      <c r="C26" s="16">
        <f>+'第一季'!E27+'第一季'!F27+'第二季'!E27+'第二季'!F27+'第三季'!E27+'第三季'!F27+'第四季'!E27+'第四季'!F27</f>
        <v>6418</v>
      </c>
      <c r="D26" s="17"/>
    </row>
    <row r="27" spans="1:4" ht="19.5" customHeight="1">
      <c r="A27" s="8" t="s">
        <v>25</v>
      </c>
      <c r="B27" s="16">
        <f>+'第一季'!B28+'第一季'!C28+'第二季'!B28+'第二季'!C28+'第三季'!B28+'第三季'!C28+'第四季'!B28+'第四季'!C28</f>
        <v>12368</v>
      </c>
      <c r="C27" s="16">
        <f>+'第一季'!E28+'第一季'!F28+'第二季'!E28+'第二季'!F28+'第三季'!E28+'第三季'!F28+'第四季'!E28+'第四季'!F28</f>
        <v>3049</v>
      </c>
      <c r="D27" s="17"/>
    </row>
    <row r="28" spans="1:4" ht="19.5" customHeight="1">
      <c r="A28" s="8" t="s">
        <v>26</v>
      </c>
      <c r="B28" s="16">
        <f>+'第一季'!B29+'第一季'!C29+'第二季'!B29+'第二季'!C29+'第三季'!B29+'第三季'!C29+'第四季'!B29+'第四季'!C29</f>
        <v>4442</v>
      </c>
      <c r="C28" s="16">
        <f>+'第一季'!E29+'第一季'!F29+'第二季'!E29+'第二季'!F29+'第三季'!E29+'第三季'!F29+'第四季'!E29+'第四季'!F29</f>
        <v>576</v>
      </c>
      <c r="D28" s="17"/>
    </row>
    <row r="29" spans="1:4" ht="19.5" customHeight="1">
      <c r="A29" s="7" t="s">
        <v>35</v>
      </c>
      <c r="B29" s="16">
        <f>+'第一季'!B30+'第一季'!C30+'第二季'!B30+'第二季'!C30+'第三季'!B30+'第三季'!C30+'第四季'!B30+'第四季'!C30</f>
        <v>132440</v>
      </c>
      <c r="C29" s="16">
        <f>+'第一季'!E30+'第一季'!F30+'第二季'!E30+'第二季'!F30+'第三季'!E30+'第三季'!F30+'第四季'!E30+'第四季'!F30</f>
        <v>75749</v>
      </c>
      <c r="D29" s="17"/>
    </row>
    <row r="30" spans="1:4" ht="19.5" customHeight="1" thickBot="1">
      <c r="A30" s="10" t="s">
        <v>36</v>
      </c>
      <c r="B30" s="20">
        <f>+'第一季'!B31+'第一季'!C31+'第二季'!B31+'第二季'!C31+'第三季'!B31+'第三季'!C31+'第四季'!B31+'第四季'!C31</f>
        <v>53991</v>
      </c>
      <c r="C30" s="20">
        <f>+'第一季'!E31+'第一季'!F31+'第二季'!E31+'第二季'!F31+'第三季'!E31+'第三季'!F31+'第四季'!E31+'第四季'!F31</f>
        <v>36240</v>
      </c>
      <c r="D30" s="21"/>
    </row>
    <row r="31" ht="17.25" thickTop="1"/>
  </sheetData>
  <mergeCells count="1"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F8" sqref="F8"/>
    </sheetView>
  </sheetViews>
  <sheetFormatPr defaultColWidth="9.00390625" defaultRowHeight="16.5"/>
  <cols>
    <col min="1" max="4" width="20.625" style="0" customWidth="1"/>
  </cols>
  <sheetData>
    <row r="1" spans="1:4" ht="19.5" customHeight="1">
      <c r="A1" s="23" t="s">
        <v>58</v>
      </c>
      <c r="B1" s="23" t="s">
        <v>52</v>
      </c>
      <c r="C1" s="24"/>
      <c r="D1" s="11"/>
    </row>
    <row r="2" spans="1:4" ht="19.5" customHeight="1">
      <c r="A2" s="23"/>
      <c r="B2" s="23"/>
      <c r="C2" s="24"/>
      <c r="D2" s="11"/>
    </row>
    <row r="3" spans="1:4" ht="19.5" customHeight="1" thickBot="1">
      <c r="A3" s="2" t="s">
        <v>53</v>
      </c>
      <c r="B3" s="11"/>
      <c r="C3" s="11"/>
      <c r="D3" s="11"/>
    </row>
    <row r="4" spans="1:4" ht="19.5" customHeight="1" thickTop="1">
      <c r="A4" s="33" t="s">
        <v>54</v>
      </c>
      <c r="B4" s="3" t="s">
        <v>55</v>
      </c>
      <c r="C4" s="3" t="s">
        <v>56</v>
      </c>
      <c r="D4" s="25"/>
    </row>
    <row r="5" spans="1:4" ht="19.5" customHeight="1">
      <c r="A5" s="44"/>
      <c r="B5" s="4" t="s">
        <v>57</v>
      </c>
      <c r="C5" s="4" t="s">
        <v>2</v>
      </c>
      <c r="D5" s="26" t="s">
        <v>33</v>
      </c>
    </row>
    <row r="6" spans="1:4" ht="19.5" customHeight="1">
      <c r="A6" s="6" t="s">
        <v>5</v>
      </c>
      <c r="B6" s="16">
        <f>B7+B29+B30</f>
        <v>11494177</v>
      </c>
      <c r="C6" s="16">
        <f>C7+C29+C30</f>
        <v>1471125</v>
      </c>
      <c r="D6" s="17"/>
    </row>
    <row r="7" spans="1:4" ht="19.5" customHeight="1">
      <c r="A7" s="7" t="s">
        <v>34</v>
      </c>
      <c r="B7" s="16">
        <f>B8+B9+B10+B11+B12+B13+B14+B15+B16+B17+B18+B19+B20+B21+B22+B23+B24+B25+B26+B27+B28</f>
        <v>7925247</v>
      </c>
      <c r="C7" s="16">
        <f>C8+C9+C10+C11+C12+C13+C14+C15+C16+C17+C18+C19+C20+C21+C22+C23+C24+C25+C26+C27+C28</f>
        <v>953164</v>
      </c>
      <c r="D7" s="17"/>
    </row>
    <row r="8" spans="1:4" ht="19.5" customHeight="1">
      <c r="A8" s="8" t="s">
        <v>6</v>
      </c>
      <c r="B8" s="16">
        <f>'第一季'!D9+'第二季'!D9+'第三季'!D9+'第四季'!D9</f>
        <v>135561</v>
      </c>
      <c r="C8" s="16">
        <f>'第一季'!G9+'第二季'!G9+'第三季'!G9+'第四季'!G9</f>
        <v>18091</v>
      </c>
      <c r="D8" s="17"/>
    </row>
    <row r="9" spans="1:4" ht="19.5" customHeight="1">
      <c r="A9" s="8" t="s">
        <v>7</v>
      </c>
      <c r="B9" s="16">
        <f>'第一季'!D10+'第二季'!D10+'第三季'!D10+'第四季'!D10</f>
        <v>2439989</v>
      </c>
      <c r="C9" s="16">
        <f>'第一季'!G10+'第二季'!G10+'第三季'!G10+'第四季'!G10</f>
        <v>260387</v>
      </c>
      <c r="D9" s="17"/>
    </row>
    <row r="10" spans="1:4" ht="19.5" customHeight="1">
      <c r="A10" s="8" t="s">
        <v>8</v>
      </c>
      <c r="B10" s="16">
        <f>'第一季'!D11+'第二季'!D11+'第三季'!D11+'第四季'!D11</f>
        <v>1387300</v>
      </c>
      <c r="C10" s="16">
        <f>'第一季'!G11+'第二季'!G11+'第三季'!G11+'第四季'!G11</f>
        <v>148413</v>
      </c>
      <c r="D10" s="17"/>
    </row>
    <row r="11" spans="1:4" ht="19.5" customHeight="1">
      <c r="A11" s="8" t="s">
        <v>9</v>
      </c>
      <c r="B11" s="16">
        <f>'第一季'!D12+'第二季'!D12+'第三季'!D12+'第四季'!D12</f>
        <v>153023</v>
      </c>
      <c r="C11" s="16">
        <f>'第一季'!G12+'第二季'!G12+'第三季'!G12+'第四季'!G12</f>
        <v>14166</v>
      </c>
      <c r="D11" s="17"/>
    </row>
    <row r="12" spans="1:4" ht="19.5" customHeight="1">
      <c r="A12" s="8" t="s">
        <v>10</v>
      </c>
      <c r="B12" s="16">
        <f>'第一季'!D13+'第二季'!D13+'第三季'!D13+'第四季'!D13</f>
        <v>209271</v>
      </c>
      <c r="C12" s="16">
        <f>'第一季'!G13+'第二季'!G13+'第三季'!G13+'第四季'!G13</f>
        <v>23188</v>
      </c>
      <c r="D12" s="17"/>
    </row>
    <row r="13" spans="1:4" ht="19.5" customHeight="1">
      <c r="A13" s="8" t="s">
        <v>11</v>
      </c>
      <c r="B13" s="16">
        <f>'第一季'!D14+'第二季'!D14+'第三季'!D14+'第四季'!D14</f>
        <v>228895</v>
      </c>
      <c r="C13" s="16">
        <f>'第一季'!G14+'第二季'!G14+'第三季'!G14+'第四季'!G14</f>
        <v>25346</v>
      </c>
      <c r="D13" s="17"/>
    </row>
    <row r="14" spans="1:4" ht="19.5" customHeight="1">
      <c r="A14" s="8" t="s">
        <v>12</v>
      </c>
      <c r="B14" s="16">
        <f>'第一季'!D15+'第二季'!D15+'第三季'!D15+'第四季'!D15</f>
        <v>350605</v>
      </c>
      <c r="C14" s="16">
        <f>'第一季'!G15+'第二季'!G15+'第三季'!G15+'第四季'!G15</f>
        <v>118263</v>
      </c>
      <c r="D14" s="17"/>
    </row>
    <row r="15" spans="1:4" ht="19.5" customHeight="1">
      <c r="A15" s="8" t="s">
        <v>13</v>
      </c>
      <c r="B15" s="16">
        <f>'第一季'!D16+'第二季'!D16+'第三季'!D16+'第四季'!D16</f>
        <v>557036</v>
      </c>
      <c r="C15" s="16">
        <f>'第一季'!G16+'第二季'!G16+'第三季'!G16+'第四季'!G16</f>
        <v>59292</v>
      </c>
      <c r="D15" s="17"/>
    </row>
    <row r="16" spans="1:4" ht="19.5" customHeight="1">
      <c r="A16" s="8" t="s">
        <v>14</v>
      </c>
      <c r="B16" s="16">
        <f>'第一季'!D17+'第二季'!D17+'第三季'!D17+'第四季'!D17</f>
        <v>301697</v>
      </c>
      <c r="C16" s="16">
        <f>'第一季'!G17+'第二季'!G17+'第三季'!G17+'第四季'!G17</f>
        <v>29183</v>
      </c>
      <c r="D16" s="17"/>
    </row>
    <row r="17" spans="1:4" ht="19.5" customHeight="1">
      <c r="A17" s="8" t="s">
        <v>15</v>
      </c>
      <c r="B17" s="16">
        <f>'第一季'!D18+'第二季'!D18+'第三季'!D18+'第四季'!D18</f>
        <v>129197</v>
      </c>
      <c r="C17" s="16">
        <f>'第一季'!G18+'第二季'!G18+'第三季'!G18+'第四季'!G18</f>
        <v>12921</v>
      </c>
      <c r="D17" s="17"/>
    </row>
    <row r="18" spans="1:4" ht="19.5" customHeight="1">
      <c r="A18" s="9" t="s">
        <v>16</v>
      </c>
      <c r="B18" s="16">
        <f>'第一季'!D19+'第二季'!D19+'第三季'!D19+'第四季'!D19</f>
        <v>118052</v>
      </c>
      <c r="C18" s="16">
        <f>'第一季'!G19+'第二季'!G19+'第三季'!G19+'第四季'!G19</f>
        <v>14581</v>
      </c>
      <c r="D18" s="17"/>
    </row>
    <row r="19" spans="1:4" ht="19.5" customHeight="1">
      <c r="A19" s="8" t="s">
        <v>17</v>
      </c>
      <c r="B19" s="16">
        <f>'第一季'!D20+'第二季'!D20+'第三季'!D20+'第四季'!D20</f>
        <v>132688</v>
      </c>
      <c r="C19" s="16">
        <f>'第一季'!G20+'第二季'!G20+'第三季'!G20+'第四季'!G20</f>
        <v>14645</v>
      </c>
      <c r="D19" s="17"/>
    </row>
    <row r="20" spans="1:4" ht="19.5" customHeight="1">
      <c r="A20" s="8" t="s">
        <v>18</v>
      </c>
      <c r="B20" s="16">
        <f>'第一季'!D21+'第二季'!D21+'第三季'!D21+'第四季'!D21</f>
        <v>71200</v>
      </c>
      <c r="C20" s="16">
        <f>'第一季'!G21+'第二季'!G21+'第三季'!G21+'第四季'!G21</f>
        <v>12813</v>
      </c>
      <c r="D20" s="17"/>
    </row>
    <row r="21" spans="1:4" ht="19.5" customHeight="1">
      <c r="A21" s="8" t="s">
        <v>19</v>
      </c>
      <c r="B21" s="16">
        <f>'第一季'!D22+'第二季'!D22+'第三季'!D22+'第四季'!D22</f>
        <v>375267</v>
      </c>
      <c r="C21" s="16">
        <f>'第一季'!G22+'第二季'!G22+'第三季'!G22+'第四季'!G22</f>
        <v>56348</v>
      </c>
      <c r="D21" s="17"/>
    </row>
    <row r="22" spans="1:4" ht="19.5" customHeight="1">
      <c r="A22" s="8" t="s">
        <v>20</v>
      </c>
      <c r="B22" s="16">
        <f>'第一季'!D23+'第二季'!D23+'第三季'!D23+'第四季'!D23</f>
        <v>428841</v>
      </c>
      <c r="C22" s="16">
        <f>'第一季'!G23+'第二季'!G23+'第三季'!G23+'第四季'!G23</f>
        <v>39453</v>
      </c>
      <c r="D22" s="17"/>
    </row>
    <row r="23" spans="1:4" ht="19.5" customHeight="1">
      <c r="A23" s="8" t="s">
        <v>21</v>
      </c>
      <c r="B23" s="16">
        <f>'第一季'!D24+'第二季'!D24+'第三季'!D24+'第四季'!D24</f>
        <v>478126</v>
      </c>
      <c r="C23" s="16">
        <f>'第一季'!G24+'第二季'!G24+'第三季'!G24+'第四季'!G24</f>
        <v>47729</v>
      </c>
      <c r="D23" s="17"/>
    </row>
    <row r="24" spans="1:4" ht="19.5" customHeight="1">
      <c r="A24" s="8" t="s">
        <v>22</v>
      </c>
      <c r="B24" s="16">
        <f>'第一季'!D25+'第二季'!D25+'第三季'!D25+'第四季'!D25</f>
        <v>169641</v>
      </c>
      <c r="C24" s="16">
        <f>'第一季'!G25+'第二季'!G25+'第三季'!G25+'第四季'!G25</f>
        <v>25383</v>
      </c>
      <c r="D24" s="17"/>
    </row>
    <row r="25" spans="1:4" ht="19.5" customHeight="1">
      <c r="A25" s="8" t="s">
        <v>23</v>
      </c>
      <c r="B25" s="16">
        <f>'第一季'!D26+'第二季'!D26+'第三季'!D26+'第四季'!D26</f>
        <v>139402</v>
      </c>
      <c r="C25" s="16">
        <f>'第一季'!G26+'第二季'!G26+'第三季'!G26+'第四季'!G26</f>
        <v>16864</v>
      </c>
      <c r="D25" s="17"/>
    </row>
    <row r="26" spans="1:4" ht="19.5" customHeight="1">
      <c r="A26" s="8" t="s">
        <v>24</v>
      </c>
      <c r="B26" s="16">
        <f>'第一季'!D27+'第二季'!D27+'第三季'!D27+'第四季'!D27</f>
        <v>76822</v>
      </c>
      <c r="C26" s="16">
        <f>'第一季'!G27+'第二季'!G27+'第三季'!G27+'第四季'!G27</f>
        <v>10295</v>
      </c>
      <c r="D26" s="17"/>
    </row>
    <row r="27" spans="1:4" ht="19.5" customHeight="1">
      <c r="A27" s="8" t="s">
        <v>25</v>
      </c>
      <c r="B27" s="16">
        <f>'第一季'!D28+'第二季'!D28+'第三季'!D28+'第四季'!D28</f>
        <v>36694</v>
      </c>
      <c r="C27" s="16">
        <f>'第一季'!G28+'第二季'!G28+'第三季'!G28+'第四季'!G28</f>
        <v>4749</v>
      </c>
      <c r="D27" s="17"/>
    </row>
    <row r="28" spans="1:4" ht="19.5" customHeight="1">
      <c r="A28" s="8" t="s">
        <v>26</v>
      </c>
      <c r="B28" s="16">
        <f>'第一季'!D29+'第二季'!D29+'第三季'!D29+'第四季'!D29</f>
        <v>5940</v>
      </c>
      <c r="C28" s="16">
        <f>'第一季'!G29+'第二季'!G29+'第三季'!G29+'第四季'!G29</f>
        <v>1054</v>
      </c>
      <c r="D28" s="17"/>
    </row>
    <row r="29" spans="1:4" ht="19.5" customHeight="1">
      <c r="A29" s="7" t="s">
        <v>35</v>
      </c>
      <c r="B29" s="16">
        <f>'第一季'!D30+'第二季'!D30+'第三季'!D30+'第四季'!D30</f>
        <v>3074780</v>
      </c>
      <c r="C29" s="16">
        <f>'第一季'!G30+'第二季'!G30+'第三季'!G30+'第四季'!G30</f>
        <v>398109</v>
      </c>
      <c r="D29" s="17"/>
    </row>
    <row r="30" spans="1:4" ht="19.5" customHeight="1" thickBot="1">
      <c r="A30" s="10" t="s">
        <v>36</v>
      </c>
      <c r="B30" s="20">
        <f>'第一季'!D31+'第二季'!D31+'第三季'!D31+'第四季'!D31</f>
        <v>494150</v>
      </c>
      <c r="C30" s="20">
        <f>'第一季'!G31+'第二季'!G31+'第三季'!G31+'第四季'!G31</f>
        <v>119852</v>
      </c>
      <c r="D30" s="21"/>
    </row>
    <row r="31" ht="17.25" thickTop="1"/>
  </sheetData>
  <mergeCells count="1"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營建署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國宅組</dc:creator>
  <cp:keywords/>
  <dc:description/>
  <cp:lastModifiedBy>087337</cp:lastModifiedBy>
  <cp:lastPrinted>2005-08-08T02:03:03Z</cp:lastPrinted>
  <dcterms:created xsi:type="dcterms:W3CDTF">1997-03-26T07:06:59Z</dcterms:created>
  <dcterms:modified xsi:type="dcterms:W3CDTF">2012-04-12T09:03:03Z</dcterms:modified>
  <cp:category/>
  <cp:version/>
  <cp:contentType/>
  <cp:contentStatus/>
</cp:coreProperties>
</file>